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yhuFAguLrDUHFdxWrMvzh25mPaaCp7ma/45Ft7bdvzem0ocJ5j5PKsXH63ZtZUUL+jN2ycruTEH+GyDIkU5uw==" workbookSaltValue="jIQo2IKosToH6MmzDpQS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AB14" i="21" s="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Y14" i="17" s="1"/>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K31" i="8" s="1"/>
  <c r="AJ14" i="8"/>
  <c r="AI14" i="8"/>
  <c r="AH14" i="8"/>
  <c r="AG14" i="8"/>
  <c r="AF14" i="8"/>
  <c r="AE14" i="8"/>
  <c r="AD14" i="8"/>
  <c r="AC14" i="8"/>
  <c r="AB14" i="8"/>
  <c r="AA14" i="8"/>
  <c r="Z14" i="8"/>
  <c r="Y14" i="8"/>
  <c r="X14" i="8"/>
  <c r="W14" i="8"/>
  <c r="V14" i="8"/>
  <c r="U14" i="8"/>
  <c r="T14" i="8"/>
  <c r="S14" i="8"/>
  <c r="R14" i="8"/>
  <c r="Q14" i="8"/>
  <c r="P14" i="8"/>
  <c r="O14" i="8"/>
  <c r="N14" i="8"/>
  <c r="M14" i="8"/>
  <c r="L14" i="8"/>
  <c r="K14" i="8"/>
  <c r="BG14" i="16" s="1"/>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J9" i="2" s="1"/>
  <c r="I10" i="2"/>
  <c r="I11" i="2"/>
  <c r="I12" i="2"/>
  <c r="I13" i="2"/>
  <c r="C10" i="2"/>
  <c r="D10" i="2" s="1"/>
  <c r="C11" i="2"/>
  <c r="C12" i="2"/>
  <c r="D12" i="2" s="1"/>
  <c r="C13" i="2"/>
  <c r="D13" i="2" s="1"/>
  <c r="G9" i="2"/>
  <c r="G10" i="2"/>
  <c r="G11" i="2"/>
  <c r="G12" i="2"/>
  <c r="G14" i="2" s="1"/>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A12" i="2"/>
  <c r="B12" i="2"/>
  <c r="A13" i="2"/>
  <c r="B13" i="2"/>
  <c r="A14" i="2"/>
  <c r="B14" i="2"/>
  <c r="A15" i="2"/>
  <c r="A16" i="2"/>
  <c r="B16" i="2"/>
  <c r="J16" i="2" s="1"/>
  <c r="A17" i="2"/>
  <c r="B17" i="2"/>
  <c r="A18" i="2"/>
  <c r="B18" i="2"/>
  <c r="F18" i="2" s="1"/>
  <c r="A19" i="2"/>
  <c r="B19" i="2"/>
  <c r="J19" i="2" s="1"/>
  <c r="A20" i="2"/>
  <c r="B20" i="2"/>
  <c r="H20" i="2" s="1"/>
  <c r="A21" i="2"/>
  <c r="A22" i="2"/>
  <c r="B22" i="2"/>
  <c r="A23" i="2"/>
  <c r="A24" i="2"/>
  <c r="A25" i="2"/>
  <c r="B25" i="2"/>
  <c r="C25" i="2"/>
  <c r="C26" i="2" s="1"/>
  <c r="D26" i="2" s="1"/>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13" i="10"/>
  <c r="P13" i="14"/>
  <c r="S26" i="12"/>
  <c r="BG29" i="8"/>
  <c r="BD28" i="8"/>
  <c r="BF17" i="8"/>
  <c r="H23" i="12"/>
  <c r="D26" i="7"/>
  <c r="E26" i="12"/>
  <c r="B23" i="7"/>
  <c r="BE28" i="13"/>
  <c r="BD9" i="13"/>
  <c r="BG21" i="13"/>
  <c r="BD28" i="13"/>
  <c r="AN23" i="17"/>
  <c r="AR23" i="11"/>
  <c r="B23" i="2"/>
  <c r="BG11" i="13"/>
  <c r="BF13" i="13"/>
  <c r="BE10" i="8"/>
  <c r="I10" i="7" s="1"/>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D17" i="13"/>
  <c r="F26" i="12"/>
  <c r="G26" i="7"/>
  <c r="C31" i="3"/>
  <c r="BD29" i="8"/>
  <c r="BF29" i="8"/>
  <c r="O31" i="8"/>
  <c r="BD12" i="13"/>
  <c r="BG12" i="13"/>
  <c r="BC30" i="8"/>
  <c r="U31" i="8"/>
  <c r="BE13" i="8"/>
  <c r="AV30" i="21"/>
  <c r="AR30" i="21" s="1"/>
  <c r="BM30" i="16"/>
  <c r="AZ14" i="13"/>
  <c r="BD22" i="13"/>
  <c r="BG22" i="13"/>
  <c r="AW30" i="21"/>
  <c r="AP26" i="17"/>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AN14" i="21"/>
  <c r="F21" i="2"/>
  <c r="N12" i="11"/>
  <c r="C9" i="6"/>
  <c r="B22" i="6"/>
  <c r="AL22" i="11"/>
  <c r="L22" i="14"/>
  <c r="C22" i="6"/>
  <c r="AO22" i="11"/>
  <c r="I11" i="10"/>
  <c r="K11" i="10" s="1"/>
  <c r="I9" i="10"/>
  <c r="K9" i="10" s="1"/>
  <c r="G19" i="3"/>
  <c r="G14" i="11"/>
  <c r="D14" i="12" s="1"/>
  <c r="L14" i="11"/>
  <c r="AA26" i="11"/>
  <c r="AC17" i="11"/>
  <c r="I14" i="11"/>
  <c r="K23" i="11"/>
  <c r="E19" i="6"/>
  <c r="K19" i="12" s="1"/>
  <c r="G13" i="3"/>
  <c r="E22" i="6"/>
  <c r="M30" i="11"/>
  <c r="G16" i="3"/>
  <c r="AN9" i="11"/>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L13" i="14"/>
  <c r="E21" i="6"/>
  <c r="AO21" i="11"/>
  <c r="D21" i="2"/>
  <c r="B21" i="6"/>
  <c r="AN21" i="11"/>
  <c r="W30" i="11"/>
  <c r="M14" i="11"/>
  <c r="AR19" i="11"/>
  <c r="M23" i="11"/>
  <c r="BA14" i="16"/>
  <c r="AR22" i="17"/>
  <c r="I11" i="3"/>
  <c r="H26" i="3"/>
  <c r="I26" i="3" s="1"/>
  <c r="E18" i="3"/>
  <c r="L10" i="14"/>
  <c r="C10" i="6"/>
  <c r="J10" i="2"/>
  <c r="AL17" i="11"/>
  <c r="B17" i="6"/>
  <c r="BI17" i="16"/>
  <c r="L17" i="14"/>
  <c r="C17" i="6"/>
  <c r="AP22" i="11"/>
  <c r="AP13" i="11"/>
  <c r="AP10" i="11"/>
  <c r="H30" i="11"/>
  <c r="N29" i="11"/>
  <c r="BI21" i="16"/>
  <c r="H23" i="3"/>
  <c r="I23" i="3" s="1"/>
  <c r="D26" i="3"/>
  <c r="E26" i="3" s="1"/>
  <c r="X14" i="11"/>
  <c r="L21" i="14"/>
  <c r="AT14" i="11"/>
  <c r="N10" i="11"/>
  <c r="D21" i="6"/>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BI16" i="16"/>
  <c r="AN16" i="11"/>
  <c r="B16" i="6"/>
  <c r="Y12" i="11"/>
  <c r="E14" i="21"/>
  <c r="T10" i="21"/>
  <c r="AL14" i="21"/>
  <c r="E23" i="2"/>
  <c r="AO16" i="11"/>
  <c r="H30" i="3"/>
  <c r="BI18" i="16"/>
  <c r="G17" i="3"/>
  <c r="B25" i="6"/>
  <c r="AO17" i="11"/>
  <c r="D17" i="2"/>
  <c r="E16" i="6"/>
  <c r="I16" i="7"/>
  <c r="C16" i="6"/>
  <c r="I16" i="12" s="1"/>
  <c r="Y25" i="11"/>
  <c r="W26" i="11"/>
  <c r="B29" i="6"/>
  <c r="F10" i="10"/>
  <c r="E28" i="3"/>
  <c r="D26" i="14"/>
  <c r="D11" i="2"/>
  <c r="B19" i="6"/>
  <c r="B10" i="6"/>
  <c r="AL13" i="11"/>
  <c r="E13" i="6"/>
  <c r="H10" i="2"/>
  <c r="C13" i="6"/>
  <c r="AO19" i="11"/>
  <c r="D19" i="6"/>
  <c r="J19" i="12" s="1"/>
  <c r="J19" i="7"/>
  <c r="AN19" i="11"/>
  <c r="C19" i="6"/>
  <c r="I19" i="12" s="1"/>
  <c r="Y9" i="11"/>
  <c r="W14" i="11"/>
  <c r="F9" i="12"/>
  <c r="F12" i="2"/>
  <c r="AN10" i="11"/>
  <c r="J22" i="2"/>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J25" i="2"/>
  <c r="BG26" i="16"/>
  <c r="AN26" i="17"/>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CI31" i="8"/>
  <c r="R31" i="8"/>
  <c r="Z31" i="8"/>
  <c r="BK31" i="8"/>
  <c r="F16" i="11"/>
  <c r="AQ16" i="11" s="1"/>
  <c r="AA31" i="8"/>
  <c r="AE31" i="8"/>
  <c r="AI31" i="8"/>
  <c r="F18" i="16"/>
  <c r="EP31" i="8"/>
  <c r="AX23" i="11"/>
  <c r="AX26" i="11" s="1"/>
  <c r="ER31" i="13"/>
  <c r="AL14" i="16"/>
  <c r="AJ14" i="16"/>
  <c r="AJ31" i="16" s="1"/>
  <c r="EP31" i="19"/>
  <c r="T9" i="11"/>
  <c r="BH9" i="16"/>
  <c r="BK19" i="11"/>
  <c r="V16" i="11"/>
  <c r="BI22" i="11"/>
  <c r="BE13" i="11"/>
  <c r="BI18" i="11"/>
  <c r="BF25" i="11"/>
  <c r="BF10" i="11"/>
  <c r="BH16" i="16"/>
  <c r="BL17" i="11"/>
  <c r="Q18" i="20"/>
  <c r="Q23" i="20" s="1"/>
  <c r="V11" i="16"/>
  <c r="AO30" i="17"/>
  <c r="BE28" i="11"/>
  <c r="BE21" i="11"/>
  <c r="BH28" i="11"/>
  <c r="BE29" i="11"/>
  <c r="BJ12" i="11"/>
  <c r="AO13" i="17"/>
  <c r="BG19" i="11"/>
  <c r="BE25" i="11"/>
  <c r="BJ19" i="11"/>
  <c r="AO16" i="17"/>
  <c r="BE10" i="11"/>
  <c r="BJ29" i="11"/>
  <c r="AM21"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F9" i="2"/>
  <c r="B11" i="6"/>
  <c r="N26" i="2"/>
  <c r="L11" i="14"/>
  <c r="H16" i="2"/>
  <c r="M14" i="2"/>
  <c r="M23" i="2"/>
  <c r="N14" i="2"/>
  <c r="AO18" i="17"/>
  <c r="K18" i="7"/>
  <c r="C18" i="6"/>
  <c r="AL11" i="11"/>
  <c r="L18" i="14"/>
  <c r="B18" i="6"/>
  <c r="J29" i="2"/>
  <c r="AO11" i="11"/>
  <c r="I11" i="7"/>
  <c r="D18" i="2"/>
  <c r="AO9" i="11"/>
  <c r="L20" i="14"/>
  <c r="D18" i="6"/>
  <c r="J18" i="12" s="1"/>
  <c r="AO12" i="11"/>
  <c r="N23" i="2"/>
  <c r="K30" i="2"/>
  <c r="J20" i="2"/>
  <c r="H12" i="2"/>
  <c r="C30" i="2"/>
  <c r="D30" i="2" s="1"/>
  <c r="H29" i="2"/>
  <c r="AM20" i="11"/>
  <c r="E20" i="6"/>
  <c r="B20" i="6"/>
  <c r="I14" i="2"/>
  <c r="J14" i="2" s="1"/>
  <c r="AL12" i="11"/>
  <c r="E14" i="2"/>
  <c r="F14" i="2" s="1"/>
  <c r="F29" i="2"/>
  <c r="C20" i="6"/>
  <c r="F13" i="2"/>
  <c r="J13" i="2"/>
  <c r="J20" i="7"/>
  <c r="C14" i="2"/>
  <c r="D14" i="2" s="1"/>
  <c r="D12" i="6"/>
  <c r="B12" i="6"/>
  <c r="D20" i="6"/>
  <c r="J20" i="12" s="1"/>
  <c r="G23" i="2"/>
  <c r="E11" i="6"/>
  <c r="AO28" i="11"/>
  <c r="I23" i="2"/>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BD16" i="8"/>
  <c r="H16" i="7" s="1"/>
  <c r="BG16" i="8"/>
  <c r="K16" i="7" s="1"/>
  <c r="BG9" i="8"/>
  <c r="K9" i="7" s="1"/>
  <c r="BI20" i="16"/>
  <c r="AZ30" i="8"/>
  <c r="BD9" i="8"/>
  <c r="H9" i="7" s="1"/>
  <c r="BF9" i="8"/>
  <c r="J9" i="7" s="1"/>
  <c r="BE9" i="8"/>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BL18" i="16"/>
  <c r="Z23" i="16"/>
  <c r="AA23" i="16" s="1"/>
  <c r="BF14" i="16"/>
  <c r="BL19" i="16"/>
  <c r="AP14" i="16"/>
  <c r="AL31" i="16"/>
  <c r="BK14" i="16"/>
  <c r="O23" i="16"/>
  <c r="O26" i="16" s="1"/>
  <c r="R26" i="16"/>
  <c r="AA9" i="16"/>
  <c r="AB14" i="16"/>
  <c r="G14" i="16"/>
  <c r="BD14" i="16"/>
  <c r="AB26" i="16"/>
  <c r="BE14" i="16"/>
  <c r="F16" i="16"/>
  <c r="BL16" i="16" s="1"/>
  <c r="V25" i="16"/>
  <c r="V9" i="16"/>
  <c r="BL28" i="16"/>
  <c r="K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F19" i="2" l="1"/>
  <c r="AC31" i="8"/>
  <c r="AL23" i="11"/>
  <c r="H14" i="2"/>
  <c r="J12" i="12"/>
  <c r="BE12" i="8"/>
  <c r="H12" i="7"/>
  <c r="BH14" i="16"/>
  <c r="AP14" i="21"/>
  <c r="AO12" i="17"/>
  <c r="E12" i="6"/>
  <c r="C12" i="6"/>
  <c r="I12" i="12" s="1"/>
  <c r="AM12" i="11"/>
  <c r="I12" i="7"/>
  <c r="AN12" i="11"/>
  <c r="L12" i="14"/>
  <c r="D10" i="6"/>
  <c r="F31" i="7"/>
  <c r="I9" i="7"/>
  <c r="H31" i="12"/>
  <c r="K29" i="7"/>
  <c r="AL25" i="11"/>
  <c r="AL10" i="11"/>
  <c r="AO13" i="11"/>
  <c r="B9" i="6"/>
  <c r="B14" i="6"/>
  <c r="AL14" i="11"/>
  <c r="J12" i="2"/>
  <c r="J23" i="2"/>
  <c r="E28" i="6"/>
  <c r="F20" i="2"/>
  <c r="F16" i="2"/>
  <c r="G26" i="2"/>
  <c r="H18" i="2"/>
  <c r="L25" i="14"/>
  <c r="AL29" i="11"/>
  <c r="H19" i="2"/>
  <c r="AL28" i="11"/>
  <c r="AO10" i="11"/>
  <c r="F23" i="2"/>
  <c r="J13" i="7"/>
  <c r="I13" i="7"/>
  <c r="B13" i="6"/>
  <c r="D9" i="6"/>
  <c r="H22" i="7"/>
  <c r="H11" i="2"/>
  <c r="AN22" i="11"/>
  <c r="AM17" i="11"/>
  <c r="BJ9" i="11"/>
  <c r="S18" i="16"/>
  <c r="S23" i="16" s="1"/>
  <c r="S31" i="16" s="1"/>
  <c r="AM13" i="11"/>
  <c r="AP30" i="20"/>
  <c r="BF22" i="11"/>
  <c r="BE17" i="11"/>
  <c r="BF20" i="11"/>
  <c r="AM22" i="11"/>
  <c r="V25" i="11"/>
  <c r="BE18" i="11"/>
  <c r="AO9" i="17"/>
  <c r="BL29" i="11"/>
  <c r="BK18" i="11"/>
  <c r="AP30" i="21"/>
  <c r="P18" i="17"/>
  <c r="BI19" i="11"/>
  <c r="BH19" i="16"/>
  <c r="BE19" i="11"/>
  <c r="BG16" i="11"/>
  <c r="BH18" i="16"/>
  <c r="BJ13" i="11"/>
  <c r="BK9" i="11"/>
  <c r="S20" i="14"/>
  <c r="V20" i="14" s="1"/>
  <c r="BH21" i="16"/>
  <c r="BH11" i="16"/>
  <c r="BE11" i="11"/>
  <c r="BF11" i="8"/>
  <c r="J11" i="7" s="1"/>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F33" i="12" l="1"/>
  <c r="F14" i="16"/>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<sst xmlns="http://schemas.openxmlformats.org/spreadsheetml/2006/main" count="2610" uniqueCount="1160">
  <si>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</si>
  <si>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</si>
  <si>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</si>
  <si>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</si>
  <si>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</si>
  <si>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</si>
  <si>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</si>
  <si>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</si>
  <si>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</si>
  <si>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</si>
  <si>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</si>
  <si>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</si>
  <si>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</si>
  <si>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</si>
  <si>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</si>
  <si>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</si>
  <si>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</si>
  <si>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</si>
  <si>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</si>
  <si>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</si>
  <si>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</si>
  <si>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</si>
  <si>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</si>
  <si>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</si>
  <si>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</si>
  <si>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</si>
  <si>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</si>
  <si>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</si>
  <si>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</si>
  <si>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</si>
  <si>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</si>
  <si>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</si>
  <si>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</si>
  <si>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</si>
  <si>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</si>
  <si>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</si>
  <si>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</si>
  <si>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</si>
  <si>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</si>
  <si>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</si>
  <si>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</si>
  <si>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</si>
  <si>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</si>
  <si>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</si>
  <si>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</si>
  <si>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</si>
  <si>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</si>
  <si>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</si>
  <si>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</si>
  <si>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</si>
  <si>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</si>
  <si>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</si>
  <si>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</si>
  <si>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</si>
  <si>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</si>
  <si>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</si>
  <si>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</si>
  <si>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</si>
  <si>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</si>
  <si>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</si>
  <si>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</si>
  <si>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</si>
  <si>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</si>
  <si>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</si>
  <si>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</si>
  <si>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</si>
  <si>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</si>
  <si>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</si>
  <si>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</si>
  <si>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</si>
  <si>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</si>
  <si>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</si>
  <si>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</si>
  <si>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</si>
  <si>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</si>
  <si>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</si>
  <si>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</si>
  <si>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</si>
  <si>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</si>
  <si>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</si>
  <si>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</si>
  <si>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</si>
  <si>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</si>
  <si>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</si>
  <si>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</si>
  <si>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</si>
  <si>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</si>
  <si>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</si>
  <si>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</si>
  <si>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</si>
  <si>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</si>
  <si>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</si>
  <si>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</si>
  <si>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</si>
  <si>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</si>
  <si>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</si>
  <si>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</si>
  <si>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</si>
  <si>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</si>
  <si>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</si>
  <si>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</si>
  <si>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</si>
  <si>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</si>
  <si>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</si>
  <si>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</si>
  <si>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</si>
  <si>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</si>
  <si>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</si>
  <si>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</si>
  <si>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</si>
  <si>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</si>
  <si>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</si>
  <si>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</si>
  <si>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</si>
  <si>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</si>
  <si>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</si>
  <si>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</si>
  <si>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</si>
  <si>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</si>
  <si>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</si>
  <si>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</si>
  <si>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</si>
  <si>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</si>
  <si>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</si>
  <si>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</si>
  <si>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</si>
  <si>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</si>
  <si>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</si>
  <si>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</si>
  <si>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</si>
  <si>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</si>
  <si>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</si>
  <si>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</si>
  <si>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</si>
  <si>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</si>
  <si>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</si>
  <si>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</si>
  <si>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</si>
  <si>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</si>
  <si>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</si>
  <si>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</si>
  <si>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</si>
  <si>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</si>
  <si>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</si>
  <si>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</si>
  <si>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</si>
  <si>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</si>
  <si>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</si>
  <si>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</si>
  <si>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</si>
  <si>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</si>
  <si>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</si>
  <si>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</si>
  <si>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</si>
  <si>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</si>
  <si>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</si>
  <si>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</si>
  <si>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</si>
  <si>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</si>
  <si>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</si>
  <si>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</si>
  <si>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</si>
  <si>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</si>
  <si>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</si>
  <si>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</si>
  <si>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</si>
  <si>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</si>
  <si>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</si>
  <si>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</si>
  <si>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</si>
  <si>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</si>
  <si>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</si>
  <si>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</si>
  <si>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</si>
  <si>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</si>
  <si>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</si>
  <si>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</si>
  <si>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</si>
  <si>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</si>
  <si>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</si>
  <si>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</si>
  <si>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</si>
  <si>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</si>
  <si>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</si>
  <si>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</si>
  <si>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</si>
  <si>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</si>
  <si>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</si>
  <si>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</si>
  <si>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</si>
  <si>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</si>
  <si>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</si>
  <si>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</si>
  <si>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</si>
  <si>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</si>
  <si>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</si>
  <si>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</si>
  <si>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</si>
  <si>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</si>
  <si>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</si>
  <si>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</si>
  <si>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</si>
  <si>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</si>
  <si>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</si>
  <si>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</si>
  <si>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</si>
  <si>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</si>
  <si>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</si>
  <si>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</si>
  <si>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</si>
  <si>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</si>
  <si>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</si>
  <si>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</si>
  <si>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</si>
  <si>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</si>
  <si>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</si>
  <si>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</si>
  <si>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</si>
  <si>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</si>
  <si>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</si>
  <si>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</si>
  <si>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</si>
  <si>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</si>
  <si>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</si>
  <si>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</si>
  <si>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</si>
  <si>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</si>
  <si>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</si>
  <si>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</si>
  <si>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</si>
  <si>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</si>
  <si>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</si>
  <si>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</si>
  <si>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</si>
  <si>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</si>
  <si>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</si>
  <si>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</si>
  <si>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</si>
  <si>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</si>
  <si>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</si>
  <si>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</si>
  <si>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</si>
  <si>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</si>
  <si>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</si>
  <si>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</si>
  <si>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</si>
  <si>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</si>
  <si>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</si>
  <si>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</si>
  <si>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</si>
  <si>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</si>
  <si>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</si>
  <si>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</si>
  <si>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</si>
  <si>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</si>
  <si>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</si>
  <si>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</si>
  <si>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</si>
  <si>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</si>
  <si>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</si>
  <si>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</si>
  <si>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</si>
  <si>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</si>
  <si>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</si>
  <si>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</si>
  <si>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</si>
  <si>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</si>
  <si>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</si>
  <si>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</si>
  <si>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</si>
  <si>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</si>
  <si>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</si>
  <si>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</si>
  <si>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</si>
  <si>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</si>
  <si>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</si>
  <si>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</si>
  <si>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</si>
  <si>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</si>
  <si>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</si>
  <si>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</si>
  <si>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</si>
  <si>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</si>
  <si>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</si>
  <si>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</si>
  <si>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</si>
  <si>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</si>
  <si>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</si>
  <si>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</si>
  <si>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</si>
  <si>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</si>
  <si>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</si>
  <si>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</si>
  <si>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</si>
  <si>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</si>
  <si>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</si>
  <si>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</si>
  <si>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</si>
  <si>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</si>
  <si>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</si>
  <si>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</si>
  <si>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</si>
  <si>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</si>
  <si>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</si>
  <si>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</si>
  <si>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</si>
  <si>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</si>
  <si>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</si>
  <si>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</si>
  <si>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</si>
  <si>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</si>
  <si>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</si>
  <si>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</si>
  <si>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</si>
  <si>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</si>
  <si>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</si>
  <si>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</si>
  <si>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</si>
  <si>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</si>
  <si>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</si>
  <si>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</si>
  <si>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</si>
  <si>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</si>
  <si>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</si>
  <si>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</si>
  <si>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</si>
  <si>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</si>
  <si>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</si>
  <si>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</si>
  <si>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</si>
  <si>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</si>
  <si>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</si>
  <si>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</si>
  <si>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</si>
  <si>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</si>
  <si>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</si>
  <si>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</si>
  <si>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</si>
  <si>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</si>
  <si>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</si>
  <si>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</si>
  <si>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</si>
  <si>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</si>
  <si>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</si>
  <si>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</si>
  <si>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</si>
  <si>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</si>
  <si>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</si>
  <si>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</si>
  <si>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</si>
  <si>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</si>
  <si>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</si>
  <si>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</si>
  <si>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</si>
  <si>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</si>
  <si>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</si>
  <si>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</si>
  <si>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</si>
  <si>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</si>
  <si>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</si>
  <si>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</si>
  <si>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</si>
  <si>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</si>
  <si>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</si>
  <si>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</si>
  <si>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</si>
  <si>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</si>
  <si>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</si>
  <si>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</si>
  <si>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</si>
  <si>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</si>
  <si>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</si>
  <si>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</si>
  <si>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</si>
  <si>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</si>
  <si>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</si>
  <si>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</si>
  <si>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</si>
  <si>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</si>
  <si>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</si>
  <si>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</si>
  <si>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</si>
  <si>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</si>
  <si>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</si>
  <si>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</si>
  <si>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</si>
  <si>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</si>
  <si>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</si>
  <si>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</si>
  <si>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</si>
  <si>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</si>
  <si>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</si>
  <si>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</si>
  <si>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</si>
  <si>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</si>
  <si>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</si>
  <si>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</si>
  <si>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</si>
  <si>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</si>
  <si>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</si>
  <si>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</si>
  <si>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</si>
  <si>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</si>
  <si>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</si>
  <si>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</si>
  <si>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</si>
  <si>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</si>
  <si>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</si>
  <si>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</si>
  <si>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</si>
  <si>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</si>
  <si>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</si>
  <si>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</si>
  <si>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</si>
  <si>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</si>
  <si>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</si>
  <si>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</si>
  <si>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</si>
  <si>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</si>
  <si>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</si>
  <si>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</si>
  <si>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</si>
  <si>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</si>
  <si>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</si>
  <si>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</si>
  <si>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</si>
  <si>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</si>
  <si>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</si>
  <si>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</si>
  <si>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</si>
  <si>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</si>
  <si>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</si>
  <si>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</si>
  <si>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</si>
  <si>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</si>
  <si>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</si>
  <si>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</si>
  <si>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</si>
  <si>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</si>
  <si>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</si>
  <si>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</si>
  <si>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</si>
  <si>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</si>
  <si>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</si>
  <si>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</si>
  <si>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</si>
  <si>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</si>
  <si>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</si>
  <si>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</si>
  <si>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</si>
  <si>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</si>
  <si>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</si>
  <si>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</si>
  <si>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</si>
  <si>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</si>
  <si>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</si>
  <si>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</si>
  <si>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</si>
  <si>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</si>
  <si>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</si>
  <si>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</si>
  <si>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</si>
  <si>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</si>
  <si>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</si>
  <si>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</si>
  <si>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</si>
  <si>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</si>
  <si>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</si>
  <si>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</si>
  <si>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</si>
  <si>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</si>
  <si>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</si>
  <si>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</si>
  <si>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</si>
  <si>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</si>
  <si>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</si>
  <si>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</si>
  <si>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</si>
  <si>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</si>
  <si>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</si>
  <si>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</si>
  <si>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</si>
  <si>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</si>
  <si>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</si>
  <si>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</si>
  <si>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</si>
  <si>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</si>
  <si>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</si>
  <si>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</si>
  <si>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</si>
  <si>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</si>
  <si>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</si>
  <si>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</si>
  <si>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</si>
  <si>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</si>
  <si>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</si>
  <si>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</si>
  <si>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</si>
  <si>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</si>
  <si>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</si>
  <si>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</si>
  <si>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</si>
  <si>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</si>
  <si>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</si>
  <si>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</si>
  <si>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</si>
  <si>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</si>
  <si>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</si>
  <si>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</si>
  <si>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</si>
  <si>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</si>
  <si>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</si>
  <si>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</si>
  <si>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</si>
  <si>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</si>
  <si>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</si>
  <si>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</si>
  <si>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</si>
  <si>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</si>
  <si>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</si>
  <si>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</si>
  <si>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</si>
  <si>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</si>
  <si>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</si>
  <si>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</si>
  <si>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</si>
  <si>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</si>
  <si>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</si>
  <si>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</si>
  <si>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</si>
  <si>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</si>
  <si>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</si>
  <si>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</si>
  <si>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</si>
  <si>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</si>
  <si>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</si>
  <si>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</si>
  <si>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</si>
  <si>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</si>
  <si>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</si>
  <si>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</si>
  <si>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</si>
  <si>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</si>
  <si>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</si>
  <si>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</si>
  <si>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</si>
  <si>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</si>
  <si>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</si>
  <si>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</si>
  <si>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</si>
  <si>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</si>
  <si>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</si>
  <si>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</si>
  <si>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</si>
  <si>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</si>
  <si>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</si>
  <si>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</si>
  <si>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</si>
  <si>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</si>
  <si>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</si>
  <si>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</si>
  <si>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</si>
  <si>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</si>
  <si>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</si>
  <si>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</si>
  <si>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</si>
  <si>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</si>
  <si>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</si>
  <si>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</si>
  <si>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</si>
  <si>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</si>
  <si>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</si>
  <si>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</si>
  <si>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</si>
  <si>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</si>
  <si>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</si>
  <si>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</si>
  <si>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</si>
  <si>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</si>
  <si>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</si>
  <si>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</si>
  <si>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</si>
  <si>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</si>
  <si>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</si>
  <si>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</si>
  <si>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</si>
  <si>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</si>
  <si>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</si>
  <si>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</si>
  <si>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</si>
  <si>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</si>
  <si>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</si>
  <si>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</si>
  <si>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</si>
  <si>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</si>
  <si>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</si>
  <si>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</si>
  <si>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</si>
  <si>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</si>
  <si>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</si>
  <si>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</si>
  <si>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</si>
  <si>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</si>
  <si>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</si>
  <si>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</si>
  <si>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</si>
  <si>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</si>
  <si>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</si>
  <si>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</si>
  <si>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</si>
  <si>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</si>
  <si>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</si>
  <si>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</si>
  <si>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</si>
  <si>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</si>
  <si>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</si>
  <si>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</si>
  <si>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</si>
  <si>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</si>
  <si>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</si>
  <si>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</si>
  <si>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</si>
  <si>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</si>
  <si>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</si>
  <si>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</si>
  <si>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</si>
  <si>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</si>
  <si>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</si>
  <si>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</si>
  <si>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</si>
  <si>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</si>
  <si>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</si>
  <si>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</si>
  <si>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</si>
  <si>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</si>
  <si>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</si>
  <si>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</si>
  <si>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</si>
  <si>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</si>
  <si>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</si>
  <si>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</si>
  <si>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</si>
  <si>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</si>
  <si>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</si>
  <si>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</si>
  <si>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</si>
  <si>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</si>
  <si>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</si>
  <si>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</si>
  <si>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</si>
  <si>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SENPT313+SENFT313+SENCOV13+SENCON13+NVL(PCNCO792,0)+NVL(PCINCO92,0)+NVL(PCSINV92,0)+NVL(PCIJO792,0)+NVL(PCIJV792,0)+NVL(PESCA792,0)+NVL(ORDSO792,0)+NVL(MDYMC792,0)</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</si>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</sst>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1153</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1154</v>
      </c>
      <c r="B9" s="422" t="s">
        <v>1155</v>
      </c>
      <c r="C9" s="419"/>
      <c r="D9" s="419"/>
      <c r="E9" s="428"/>
      <c r="F9" s="3"/>
    </row>
    <row r="10" spans="1:19">
      <c r="A10" s="427" t="s">
        <v>1156</v>
      </c>
      <c r="B10" s="419" t="s">
        <v>1157</v>
      </c>
      <c r="C10" s="419"/>
      <c r="D10" s="419"/>
      <c r="E10" s="428"/>
      <c r="F10" s="3"/>
      <c r="Q10" s="392">
        <v>0</v>
      </c>
    </row>
    <row r="11" spans="1:19" ht="13.5" thickBot="1">
      <c r="A11" s="429" t="s">
        <v>1158</v>
      </c>
      <c r="B11" s="430" t="s">
        <v>1159</v>
      </c>
      <c r="C11" s="430"/>
      <c r="D11" s="430"/>
      <c r="E11" s="431"/>
      <c r="F11" s="3"/>
    </row>
    <row r="12" spans="1:19" ht="40.5" customHeight="1" thickBot="1">
      <c r="A12" s="421"/>
      <c r="B12" s="419"/>
      <c r="C12" s="419"/>
      <c r="D12" s="419"/>
      <c r="E12" s="419"/>
      <c r="F12" s="3"/>
      <c r="Q12" s="1474"/>
    </row>
    <row r="13" spans="1:19" ht="15">
      <c r="A13" s="432" t="s">
        <v>171</v>
      </c>
      <c r="B13" s="433" t="s">
        <v>87</v>
      </c>
      <c r="C13" s="1082" t="s">
        <v>938</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6t3kvQVYaNvp+MHuwvZHTuzGRBqvleN9ycljssXxxHaWeWTDkEak2iGKKJ5XnedaVH2mUc0WfhRB1kA75Hnq1w==" saltValue="N0+qRe/VGwf+IjqU7L4+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1145</v>
      </c>
      <c r="T7" s="1526" t="s">
        <v>1146</v>
      </c>
      <c r="U7" s="1526" t="s">
        <v>1147</v>
      </c>
      <c r="V7" s="1526" t="s">
        <v>1148</v>
      </c>
      <c r="W7" s="1457" t="s">
        <v>597</v>
      </c>
      <c r="X7" s="1541" t="s">
        <v>1150</v>
      </c>
      <c r="Y7" s="1541" t="s">
        <v>1151</v>
      </c>
      <c r="Z7" s="1542" t="s">
        <v>1152</v>
      </c>
      <c r="AA7" s="1460" t="s">
        <v>597</v>
      </c>
      <c r="AB7" s="1461" t="s">
        <v>598</v>
      </c>
      <c r="AC7" s="1461" t="s">
        <v>599</v>
      </c>
      <c r="AD7" s="1462" t="s">
        <v>600</v>
      </c>
      <c r="AE7" s="1462" t="s">
        <v>1143</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6</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5.4534023009007404</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140</v>
      </c>
      <c r="D10" s="239">
        <f>IF(ISNUMBER(Datos!I10),Datos!I10," - ")</f>
        <v>140</v>
      </c>
      <c r="E10" s="240">
        <f>IF(ISNUMBER(Datos!J10),Datos!J10," - ")</f>
        <v>161</v>
      </c>
      <c r="F10" s="240">
        <f>IF(ISNUMBER(Datos!K10),Datos!K10," - ")</f>
        <v>118</v>
      </c>
      <c r="G10" s="1392" t="str">
        <f>IF(Datos!E10&lt;&gt;"",Datos!E10,Datos!D10)</f>
        <v>37</v>
      </c>
      <c r="H10" s="241">
        <f>IF(ISNUMBER(Datos!L10),Datos!L10," - ")</f>
        <v>183</v>
      </c>
      <c r="I10" s="1402" t="str">
        <f>IF(ISNUMBER(Datos!AS10/Datos!BM10),Datos!AS10/Datos!BM10," - ")</f>
        <v xml:space="preserve"> - </v>
      </c>
      <c r="J10" s="1403">
        <f>IF(ISNUMBER(Datos!BY10/Datos!CN10),Datos!BY10/Datos!CN10," - ")</f>
        <v>0</v>
      </c>
      <c r="K10" s="244">
        <f t="shared" ref="K10:K13" si="1">IF(ISNUMBER((E10-F10)/C10),(E10-F10)/C10," - ")</f>
        <v>0.30714285714285716</v>
      </c>
      <c r="L10" s="1404">
        <f>IF(ISNUMBER(NºAsuntos!I10/NºAsuntos!G10),(NºAsuntos!I10/NºAsuntos!G10)*11," - ")</f>
        <v>17.059322033898304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3.1428571428571428</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140</v>
      </c>
      <c r="D14" s="1409">
        <f>SUBTOTAL(9,D9:D13)</f>
        <v>140</v>
      </c>
      <c r="E14" s="1410">
        <f>SUBTOTAL(9,E9:E13)</f>
        <v>161</v>
      </c>
      <c r="F14" s="1411">
        <f>SUBTOTAL(9,F9:F13)</f>
        <v>118</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3</v>
      </c>
      <c r="B16" s="1464" t="str">
        <f>Datos!A16</f>
        <v xml:space="preserve">Jdos. Instrucción                               </v>
      </c>
      <c r="C16" s="239">
        <f t="shared" ref="C16:C22" si="2">IF(ISNUMBER(H16-E16+F16),H16-E16+F16," - ")</f>
        <v>2279</v>
      </c>
      <c r="D16" s="239">
        <f>IF(ISNUMBER(IF(D_I="SI",Datos!I16,Datos!I16+Datos!AC16)),IF(D_I="SI",Datos!I16,Datos!I16+Datos!AC16)," - ")</f>
        <v>2215</v>
      </c>
      <c r="E16" s="240">
        <f>IF(ISNUMBER(IF(D_I="SI",Datos!J16,Datos!J16+Datos!AD16)),IF(D_I="SI",Datos!J16,Datos!J16+Datos!AD16)," - ")</f>
        <v>9896</v>
      </c>
      <c r="F16" s="240">
        <f>IF(ISNUMBER(IF(D_I="SI",Datos!K16,Datos!K16+Datos!AE16)),IF(D_I="SI",Datos!K16,Datos!K16+Datos!AE16)," - ")</f>
        <v>10176</v>
      </c>
      <c r="G16" s="1392" t="str">
        <f>IF(Datos!E16&lt;&gt;"",Datos!E16,Datos!D16)</f>
        <v>03</v>
      </c>
      <c r="H16" s="241">
        <f>IF(ISNUMBER(IF(D_I="SI",Datos!L16,Datos!L16+Datos!AF16)),IF(D_I="SI",Datos!L16,Datos!L16+Datos!AF16)," - ")</f>
        <v>1999</v>
      </c>
      <c r="I16" s="1402" t="str">
        <f>IF(ISNUMBER(Datos!AS16/Datos!BM16),Datos!AS16/Datos!BM16," - ")</f>
        <v xml:space="preserve"> - </v>
      </c>
      <c r="J16" s="1403">
        <f>IF(ISNUMBER(Datos!BY16/Datos!CN16),Datos!BY16/Datos!CN16," - ")</f>
        <v>0</v>
      </c>
      <c r="K16" s="244">
        <f t="shared" ref="K16:K22" si="3">IF(ISNUMBER((E16-F16)/C16),(E16-F16)/C16," - ")</f>
        <v>-0.12286090390522159</v>
      </c>
      <c r="L16" s="1404">
        <f>IF(ISNUMBER(NºAsuntos!I16/NºAsuntos!G16),(NºAsuntos!I16/NºAsuntos!G16)*11," - ")</f>
        <v>2.1608687106918238</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f t="shared" si="2"/>
        <v>6</v>
      </c>
      <c r="D17" s="239">
        <f>IF(ISNUMBER(IF(D_I="SI",Datos!I17,Datos!I17+Datos!AC17)),IF(D_I="SI",Datos!I17,Datos!I17+Datos!AC17)," - ")</f>
        <v>6</v>
      </c>
      <c r="E17" s="240">
        <f>IF(ISNUMBER(IF(D_I="SI",Datos!J17,Datos!J17+Datos!AD17)),IF(D_I="SI",Datos!J17,Datos!J17+Datos!AD17)," - ")</f>
        <v>0</v>
      </c>
      <c r="F17" s="240">
        <f>IF(ISNUMBER(IF(D_I="SI",Datos!K17,Datos!K17+Datos!AE17)),IF(D_I="SI",Datos!K17,Datos!K17+Datos!AE17)," - ")</f>
        <v>0</v>
      </c>
      <c r="G17" s="1392" t="str">
        <f>IF(Datos!E17&lt;&gt;"",Datos!E17,Datos!D17)</f>
        <v>04</v>
      </c>
      <c r="H17" s="241">
        <f>IF(ISNUMBER(IF(D_I="SI",Datos!L17,Datos!L17+Datos!AF17)),IF(D_I="SI",Datos!L17,Datos!L17+Datos!AF17)," - ")</f>
        <v>6</v>
      </c>
      <c r="I17" s="1402" t="str">
        <f>IF(ISNUMBER(Datos!AS17/Datos!BM17),Datos!AS17/Datos!BM17," - ")</f>
        <v xml:space="preserve"> - </v>
      </c>
      <c r="J17" s="1403">
        <f>IF(ISNUMBER(Datos!BY17/Datos!CN17),Datos!BY17/Datos!CN17," - ")</f>
        <v>0</v>
      </c>
      <c r="K17" s="244">
        <f t="shared" si="3"/>
        <v>0</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207</v>
      </c>
      <c r="D18" s="239">
        <f>IF(ISNUMBER(IF(D_I="SI",Datos!I18,Datos!I18+Datos!AC18)),IF(D_I="SI",Datos!I18,Datos!I18+Datos!AC18)," - ")</f>
        <v>207</v>
      </c>
      <c r="E18" s="240">
        <f>IF(ISNUMBER(IF(D_I="SI",Datos!J18,Datos!J18+Datos!AD18)),IF(D_I="SI",Datos!J18,Datos!J18+Datos!AD18)," - ")</f>
        <v>728</v>
      </c>
      <c r="F18" s="240">
        <f>IF(ISNUMBER(IF(D_I="SI",Datos!K18,Datos!K18+Datos!AE18)),IF(D_I="SI",Datos!K18,Datos!K18+Datos!AE18)," - ")</f>
        <v>788</v>
      </c>
      <c r="G18" s="1392" t="str">
        <f>IF(Datos!E18&lt;&gt;"",Datos!E18,Datos!D18)</f>
        <v>37</v>
      </c>
      <c r="H18" s="241">
        <f>IF(ISNUMBER(IF(D_I="SI",Datos!L18,Datos!L18+Datos!AF18)),IF(D_I="SI",Datos!L18,Datos!L18+Datos!AF18)," - ")</f>
        <v>147</v>
      </c>
      <c r="I18" s="1402" t="str">
        <f>IF(ISNUMBER(Datos!AS18/Datos!BM18),Datos!AS18/Datos!BM18," - ")</f>
        <v xml:space="preserve"> - </v>
      </c>
      <c r="J18" s="1403" t="str">
        <f>IF(ISNUMBER((Datos!BY18+Datos!BZ18)/Datos!CN18),(Datos!BY18+Datos!BZ18)/Datos!CN18," - ")</f>
        <v xml:space="preserve"> - </v>
      </c>
      <c r="K18" s="244">
        <f t="shared" si="3"/>
        <v>-0.28985507246376813</v>
      </c>
      <c r="L18" s="1404">
        <f>IF(ISNUMBER(NºAsuntos!I18/NºAsuntos!G18),(NºAsuntos!I18/NºAsuntos!G18)*11," - ")</f>
        <v>2.0520304568527918</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2492</v>
      </c>
      <c r="D23" s="1409">
        <f>SUBTOTAL(9,D16:D22)</f>
        <v>2428</v>
      </c>
      <c r="E23" s="1410">
        <f>SUBTOTAL(9,E16:E22)</f>
        <v>10624</v>
      </c>
      <c r="F23" s="1410">
        <f>SUBTOTAL(9,F16:F22)</f>
        <v>10964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2632</v>
      </c>
      <c r="D31" s="1437">
        <f>SUBTOTAL(9,D9:D30)</f>
        <v>2568</v>
      </c>
      <c r="E31" s="1438">
        <f>SUBTOTAL(9,E9:E30)</f>
        <v>10785</v>
      </c>
      <c r="F31" s="1438">
        <f>SUBTOTAL(9,F9:F30)</f>
        <v>11082</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839</v>
      </c>
      <c r="O37" s="1685"/>
      <c r="P37" s="1685"/>
      <c r="Q37" s="1685"/>
      <c r="R37" s="1685"/>
      <c r="S37" s="1685"/>
      <c r="T37" s="1685"/>
      <c r="U37" s="1685"/>
      <c r="V37" s="1685"/>
      <c r="W37" s="1685"/>
      <c r="Y37" s="1685" t="s">
        <v>840</v>
      </c>
      <c r="Z37" s="1685"/>
      <c r="AA37" s="1685"/>
      <c r="AB37" s="1685"/>
      <c r="AC37" s="1685"/>
    </row>
    <row r="39" spans="2:29">
      <c r="N39" s="1388" t="s">
        <v>841</v>
      </c>
      <c r="O39" s="1680" t="s">
        <v>842</v>
      </c>
      <c r="P39" s="1680"/>
      <c r="Q39" s="1680"/>
      <c r="R39" s="1680"/>
      <c r="S39" s="1680"/>
      <c r="T39" s="1680"/>
      <c r="U39" s="1680"/>
      <c r="V39" s="1680"/>
      <c r="W39" s="1680"/>
      <c r="Y39" s="1388" t="s">
        <v>841</v>
      </c>
      <c r="Z39" s="1683" t="s">
        <v>843</v>
      </c>
      <c r="AA39" s="1683"/>
      <c r="AB39" s="1683"/>
      <c r="AC39" s="1683"/>
    </row>
    <row r="40" spans="2:29">
      <c r="N40" s="1388" t="s">
        <v>844</v>
      </c>
      <c r="O40" s="1680" t="s">
        <v>845</v>
      </c>
      <c r="P40" s="1680"/>
      <c r="Q40" s="1680"/>
      <c r="R40" s="1680"/>
      <c r="S40" s="1680"/>
      <c r="T40" s="1680"/>
      <c r="U40" s="1680"/>
      <c r="V40" s="1680"/>
      <c r="W40" s="1680"/>
      <c r="Y40" s="1388" t="s">
        <v>844</v>
      </c>
      <c r="Z40" s="1683" t="s">
        <v>846</v>
      </c>
      <c r="AA40" s="1683"/>
      <c r="AB40" s="1683"/>
      <c r="AC40" s="1683"/>
    </row>
    <row r="41" spans="2:29">
      <c r="N41" s="1388" t="s">
        <v>847</v>
      </c>
      <c r="O41" s="1680" t="s">
        <v>848</v>
      </c>
      <c r="P41" s="1680"/>
      <c r="Q41" s="1680"/>
      <c r="R41" s="1680"/>
      <c r="S41" s="1680"/>
      <c r="T41" s="1680"/>
      <c r="U41" s="1680"/>
      <c r="V41" s="1680"/>
      <c r="W41" s="1680"/>
      <c r="Y41" s="1388" t="s">
        <v>849</v>
      </c>
      <c r="Z41" s="1683" t="s">
        <v>850</v>
      </c>
      <c r="AA41" s="1683"/>
      <c r="AB41" s="1683"/>
      <c r="AC41" s="1683"/>
    </row>
    <row r="42" spans="2:29">
      <c r="N42" s="1388" t="s">
        <v>851</v>
      </c>
      <c r="O42" s="1680" t="s">
        <v>852</v>
      </c>
      <c r="P42" s="1680"/>
      <c r="Q42" s="1680"/>
      <c r="R42" s="1680"/>
      <c r="S42" s="1680"/>
      <c r="T42" s="1680"/>
      <c r="U42" s="1680"/>
      <c r="V42" s="1680"/>
      <c r="W42" s="1680"/>
      <c r="Y42" s="1388" t="s">
        <v>853</v>
      </c>
      <c r="Z42" s="1683" t="s">
        <v>854</v>
      </c>
      <c r="AA42" s="1683"/>
      <c r="AB42" s="1683"/>
      <c r="AC42" s="1683"/>
    </row>
    <row r="43" spans="2:29">
      <c r="N43" s="1388" t="s">
        <v>941</v>
      </c>
      <c r="O43" s="1680" t="s">
        <v>942</v>
      </c>
      <c r="P43" s="1680"/>
      <c r="Q43" s="1680"/>
      <c r="R43" s="1680"/>
      <c r="S43" s="1680"/>
      <c r="T43" s="1680"/>
      <c r="U43" s="1680"/>
      <c r="V43" s="1680"/>
      <c r="W43" s="1680"/>
      <c r="Y43" s="1388" t="s">
        <v>847</v>
      </c>
      <c r="Z43" s="1683" t="s">
        <v>848</v>
      </c>
      <c r="AA43" s="1683"/>
      <c r="AB43" s="1683"/>
      <c r="AC43" s="1683"/>
    </row>
    <row r="44" spans="2:29">
      <c r="N44" s="1388" t="s">
        <v>855</v>
      </c>
      <c r="O44" s="1680" t="s">
        <v>856</v>
      </c>
      <c r="P44" s="1680"/>
      <c r="Q44" s="1680"/>
      <c r="R44" s="1680"/>
      <c r="S44" s="1680"/>
      <c r="T44" s="1680"/>
      <c r="U44" s="1680"/>
      <c r="V44" s="1680"/>
      <c r="W44" s="1680"/>
      <c r="Y44" s="1388" t="s">
        <v>851</v>
      </c>
      <c r="Z44" s="1683" t="s">
        <v>852</v>
      </c>
      <c r="AA44" s="1683"/>
      <c r="AB44" s="1683"/>
      <c r="AC44" s="1683"/>
    </row>
    <row r="45" spans="2:29">
      <c r="N45" s="1388" t="s">
        <v>857</v>
      </c>
      <c r="O45" s="1680" t="s">
        <v>858</v>
      </c>
      <c r="P45" s="1680"/>
      <c r="Q45" s="1680"/>
      <c r="R45" s="1680"/>
      <c r="S45" s="1680"/>
      <c r="T45" s="1680"/>
      <c r="U45" s="1680"/>
      <c r="V45" s="1680"/>
      <c r="W45" s="1680"/>
      <c r="Y45" s="1388" t="s">
        <v>860</v>
      </c>
      <c r="Z45" s="1683" t="s">
        <v>861</v>
      </c>
      <c r="AA45" s="1683"/>
      <c r="AB45" s="1683"/>
      <c r="AC45" s="1683"/>
    </row>
    <row r="46" spans="2:29">
      <c r="N46" s="1388" t="s">
        <v>849</v>
      </c>
      <c r="O46" s="1680" t="s">
        <v>859</v>
      </c>
      <c r="P46" s="1680"/>
      <c r="Q46" s="1680"/>
      <c r="R46" s="1680"/>
      <c r="S46" s="1680"/>
      <c r="T46" s="1680"/>
      <c r="U46" s="1680"/>
      <c r="V46" s="1680"/>
      <c r="W46" s="1680"/>
      <c r="Y46" s="1388" t="s">
        <v>863</v>
      </c>
      <c r="Z46" s="1683" t="s">
        <v>864</v>
      </c>
      <c r="AA46" s="1683"/>
      <c r="AB46" s="1683"/>
      <c r="AC46" s="1683"/>
    </row>
    <row r="47" spans="2:29">
      <c r="N47" s="1388" t="s">
        <v>853</v>
      </c>
      <c r="O47" s="1680" t="s">
        <v>862</v>
      </c>
      <c r="P47" s="1680"/>
      <c r="Q47" s="1680"/>
      <c r="R47" s="1680"/>
      <c r="S47" s="1680"/>
      <c r="T47" s="1680"/>
      <c r="U47" s="1680"/>
      <c r="V47" s="1680"/>
      <c r="W47" s="1680"/>
      <c r="Y47" s="1389" t="s">
        <v>866</v>
      </c>
      <c r="Z47" s="1681" t="s">
        <v>867</v>
      </c>
      <c r="AA47" s="1681"/>
      <c r="AB47" s="1681"/>
      <c r="AC47" s="1681"/>
    </row>
    <row r="48" spans="2:29">
      <c r="N48" s="1388" t="s">
        <v>860</v>
      </c>
      <c r="O48" s="1680" t="s">
        <v>865</v>
      </c>
      <c r="P48" s="1680"/>
      <c r="Q48" s="1680"/>
      <c r="R48" s="1680"/>
      <c r="S48" s="1680"/>
      <c r="T48" s="1680"/>
      <c r="U48" s="1680"/>
      <c r="V48" s="1680"/>
      <c r="W48" s="1680"/>
      <c r="Y48" s="1388" t="s">
        <v>855</v>
      </c>
      <c r="Z48" s="1683" t="s">
        <v>856</v>
      </c>
      <c r="AA48" s="1683"/>
      <c r="AB48" s="1683"/>
      <c r="AC48" s="1683"/>
    </row>
    <row r="49" spans="14:29">
      <c r="N49" s="1388" t="s">
        <v>868</v>
      </c>
      <c r="O49" s="1680" t="s">
        <v>869</v>
      </c>
      <c r="P49" s="1680"/>
      <c r="Q49" s="1680"/>
      <c r="R49" s="1680"/>
      <c r="S49" s="1680"/>
      <c r="T49" s="1680"/>
      <c r="U49" s="1680"/>
      <c r="V49" s="1680"/>
      <c r="W49" s="1680"/>
      <c r="Y49" s="1390" t="s">
        <v>857</v>
      </c>
      <c r="Z49" s="1684" t="s">
        <v>858</v>
      </c>
      <c r="AA49" s="1684"/>
      <c r="AB49" s="1684"/>
      <c r="AC49" s="1684"/>
    </row>
    <row r="50" spans="14:29">
      <c r="N50" s="1388" t="s">
        <v>863</v>
      </c>
      <c r="O50" s="1680" t="s">
        <v>870</v>
      </c>
      <c r="P50" s="1680"/>
      <c r="Q50" s="1680"/>
      <c r="R50" s="1680"/>
      <c r="S50" s="1680"/>
      <c r="T50" s="1680"/>
      <c r="U50" s="1680"/>
      <c r="V50" s="1680"/>
      <c r="W50" s="1680"/>
    </row>
    <row r="51" spans="14:29">
      <c r="N51" s="1390" t="s">
        <v>866</v>
      </c>
      <c r="O51" s="1682" t="s">
        <v>871</v>
      </c>
      <c r="P51" s="1682"/>
      <c r="Q51" s="1682"/>
      <c r="R51" s="1682"/>
      <c r="S51" s="1682"/>
      <c r="T51" s="1682"/>
      <c r="U51" s="1682"/>
      <c r="V51" s="1682"/>
      <c r="W51" s="1682"/>
    </row>
  </sheetData>
  <sheetProtection algorithmName="SHA-512" hashValue="laqgav5lMBZnFK7/c8b7g2+kcvQk5+dvMXntWmXZbF8xmBTRQWL8IZj8TDYykPiuFsJ7OBuBzTUzl1cRu2IUEw==" saltValue="mq2uHvv2tQdUEajDllGaM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1149</v>
      </c>
    </row>
    <row r="14" spans="2:2">
      <c r="B14" s="527"/>
    </row>
    <row r="15" spans="2:2" ht="51">
      <c r="B15" s="527" t="s">
        <v>546</v>
      </c>
    </row>
    <row r="16" spans="2:2">
      <c r="B16" s="527"/>
    </row>
    <row r="17" spans="2:2" ht="51">
      <c r="B17" s="528" t="s">
        <v>547</v>
      </c>
    </row>
  </sheetData>
  <sheetProtection algorithmName="SHA-512" hashValue="6sHa9sh4dVgswtXO4NyOyzDsBKFLpbrc8l9MX34HXmRBbuLOKFGGet2T8RWAkHMCGSW/8JngIAwVHsHbZR3tgA==" saltValue="wb/t43o5Zyqkx5sGAQMh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643</v>
      </c>
      <c r="DM5" s="1745" t="s">
        <v>711</v>
      </c>
      <c r="DN5" s="1745" t="s">
        <v>712</v>
      </c>
      <c r="DO5" s="1745" t="s">
        <v>713</v>
      </c>
      <c r="DP5" s="1745" t="s">
        <v>714</v>
      </c>
      <c r="DQ5" s="1745" t="s">
        <v>715</v>
      </c>
      <c r="DR5" s="1745" t="s">
        <v>716</v>
      </c>
      <c r="DS5" s="1745" t="s">
        <v>717</v>
      </c>
      <c r="DT5" s="1745" t="s">
        <v>718</v>
      </c>
      <c r="DU5" s="1764" t="s">
        <v>719</v>
      </c>
      <c r="DV5" s="1752" t="s">
        <v>720</v>
      </c>
      <c r="DW5" s="1749" t="s">
        <v>721</v>
      </c>
      <c r="DX5" s="1745" t="s">
        <v>722</v>
      </c>
      <c r="DY5" s="1733" t="s">
        <v>723</v>
      </c>
      <c r="DZ5" s="1749" t="s">
        <v>724</v>
      </c>
      <c r="EA5" s="1733" t="s">
        <v>725</v>
      </c>
      <c r="EB5" s="1742" t="s">
        <v>785</v>
      </c>
      <c r="EC5" s="1742" t="s">
        <v>786</v>
      </c>
      <c r="ED5" s="1742" t="s">
        <v>787</v>
      </c>
      <c r="EE5" s="1742" t="s">
        <v>827</v>
      </c>
      <c r="EF5" s="1742" t="s">
        <v>831</v>
      </c>
      <c r="EG5" s="1733" t="s">
        <v>829</v>
      </c>
      <c r="EH5" s="1733" t="s">
        <v>830</v>
      </c>
      <c r="EI5" s="1733" t="s">
        <v>789</v>
      </c>
      <c r="EJ5" s="1733" t="s">
        <v>790</v>
      </c>
      <c r="EK5" s="1730" t="s">
        <v>878</v>
      </c>
      <c r="EL5" s="1736" t="s">
        <v>896</v>
      </c>
      <c r="EM5" s="1737"/>
      <c r="EN5" s="1738"/>
      <c r="EO5" s="1727" t="s">
        <v>1002</v>
      </c>
      <c r="EP5" s="1727" t="s">
        <v>1004</v>
      </c>
      <c r="EQ5" s="1727" t="s">
        <v>1005</v>
      </c>
      <c r="ER5" s="1727" t="s">
        <v>1011</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897</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6" t="s">
        <v>1010</v>
      </c>
      <c r="ER8" s="536">
        <v>148</v>
      </c>
      <c r="ES8" s="536" t="s">
        <v>1022</v>
      </c>
      <c r="ET8" s="1522" t="s">
        <v>1140</v>
      </c>
      <c r="EU8" s="1522" t="s">
        <v>1141</v>
      </c>
    </row>
    <row r="9" spans="1:151" ht="14.25" customHeight="1">
      <c r="A9" s="20" t="s">
        <v>72</v>
      </c>
      <c r="B9" s="21" t="s">
        <v>523</v>
      </c>
      <c r="C9" s="22" t="s">
        <v>8</v>
      </c>
      <c r="D9" s="23" t="s">
        <v>25</v>
      </c>
      <c r="E9" s="21" t="s">
        <v>26</v>
      </c>
      <c r="F9" s="21">
        <v>32</v>
      </c>
      <c r="G9" s="6"/>
      <c r="H9" s="146" t="s">
        <v>323</v>
      </c>
      <c r="I9" s="193">
        <v>4991</v>
      </c>
      <c r="J9" s="194">
        <v>10762</v>
      </c>
      <c r="K9" s="194">
        <v>10538</v>
      </c>
      <c r="L9" s="194">
        <v>5372</v>
      </c>
      <c r="M9" s="194">
        <v>2296</v>
      </c>
      <c r="N9" s="194">
        <v>4930</v>
      </c>
      <c r="O9" s="194">
        <v>4467</v>
      </c>
      <c r="P9" s="194">
        <v>2477</v>
      </c>
      <c r="Q9" s="194">
        <v>2077</v>
      </c>
      <c r="R9" s="194">
        <v>8300</v>
      </c>
      <c r="S9" s="194">
        <v>4498</v>
      </c>
      <c r="T9" s="194">
        <v>8571</v>
      </c>
      <c r="U9" s="194">
        <v>7899</v>
      </c>
      <c r="V9" s="194">
        <v>4991</v>
      </c>
      <c r="W9" s="194">
        <v>1656</v>
      </c>
      <c r="X9" s="201">
        <v>4033</v>
      </c>
      <c r="Y9" s="204">
        <v>224</v>
      </c>
      <c r="Z9" s="194">
        <v>646</v>
      </c>
      <c r="AA9" s="194">
        <v>675</v>
      </c>
      <c r="AB9" s="194">
        <v>187</v>
      </c>
      <c r="AC9" s="194">
        <v>0</v>
      </c>
      <c r="AD9" s="194">
        <v>0</v>
      </c>
      <c r="AE9" s="194">
        <v>0</v>
      </c>
      <c r="AF9" s="201">
        <v>0</v>
      </c>
      <c r="AG9" s="204">
        <v>217</v>
      </c>
      <c r="AH9" s="194">
        <v>538</v>
      </c>
      <c r="AI9" s="194">
        <v>516</v>
      </c>
      <c r="AJ9" s="205">
        <v>224</v>
      </c>
      <c r="AK9" s="193">
        <v>0</v>
      </c>
      <c r="AL9" s="194">
        <v>0</v>
      </c>
      <c r="AM9" s="194">
        <v>0</v>
      </c>
      <c r="AN9" s="201">
        <v>0</v>
      </c>
      <c r="AO9" s="282">
        <v>6</v>
      </c>
      <c r="AP9" s="167">
        <v>6</v>
      </c>
      <c r="AQ9" s="167">
        <v>6</v>
      </c>
      <c r="AR9" s="206">
        <v>6</v>
      </c>
      <c r="AS9" s="380" t="s">
        <v>1076</v>
      </c>
      <c r="AT9" s="208"/>
      <c r="AU9" s="207"/>
      <c r="AV9" s="208"/>
      <c r="AW9" s="207"/>
      <c r="AX9" s="208"/>
      <c r="AY9" s="133">
        <f>IF(ISNUMBER(IF(J_V="SI",S9,S9+AG9)),IF(J_V="SI",S9,S9+AG9)," - ")</f>
        <v>4715</v>
      </c>
      <c r="AZ9" s="133">
        <f>IF(ISNUMBER(IF(J_V="SI",T9,T9+AH9)),IF(J_V="SI",T9,T9+AH9)," - ")</f>
        <v>9109</v>
      </c>
      <c r="BA9" s="134">
        <f>IF(ISNUMBER(IF(J_V="SI",U9,U9+AI9)),IF(J_V="SI",U9,U9+AI9)," - ")</f>
        <v>8415</v>
      </c>
      <c r="BB9" s="134">
        <f>IF(ISNUMBER(IF(J_V="SI",V9,V9+AJ9)),IF(J_V="SI",V9,V9+AJ9)," - ")</f>
        <v>5215</v>
      </c>
      <c r="BC9" s="135">
        <f>IF(ISNUMBER(X9),X9," - ")</f>
        <v>4033</v>
      </c>
      <c r="BD9" s="136">
        <f>IF(ISNUMBER(BA9/AZ9),BA9/AZ9," - ")</f>
        <v>0.92381161488637609</v>
      </c>
      <c r="BE9" s="137">
        <f>IF(ISNUMBER(BB9/BA9),BB9/BA9, " - ")</f>
        <v>0.61972667855020791</v>
      </c>
      <c r="BF9" s="137">
        <f>IF(ISNUMBER(BC9/BA9),BC9/BA9, " - ")</f>
        <v>0.47926322043969105</v>
      </c>
      <c r="BG9" s="209">
        <f>IF(ISNUMBER((AY9+AZ9)/BA9),(AY9+AZ9)/BA9," - ")</f>
        <v>1.6427807486631016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1077</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140</v>
      </c>
      <c r="J10" s="194">
        <v>161</v>
      </c>
      <c r="K10" s="194">
        <v>118</v>
      </c>
      <c r="L10" s="194">
        <v>183</v>
      </c>
      <c r="M10" s="194">
        <v>51</v>
      </c>
      <c r="N10" s="194">
        <v>32</v>
      </c>
      <c r="O10" s="194">
        <v>32</v>
      </c>
      <c r="P10" s="194">
        <v>26</v>
      </c>
      <c r="Q10" s="194">
        <v>2</v>
      </c>
      <c r="R10" s="194">
        <v>87</v>
      </c>
      <c r="S10" s="194">
        <v>68</v>
      </c>
      <c r="T10" s="194">
        <v>153</v>
      </c>
      <c r="U10" s="194">
        <v>92</v>
      </c>
      <c r="V10" s="194">
        <v>140</v>
      </c>
      <c r="W10" s="194">
        <v>26</v>
      </c>
      <c r="X10" s="201">
        <v>34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1070</v>
      </c>
      <c r="AT10" s="205"/>
      <c r="AU10" s="213"/>
      <c r="AV10" s="205"/>
      <c r="AW10" s="213"/>
      <c r="AX10" s="205"/>
      <c r="AY10" s="138">
        <f t="shared" ref="AY10:BC10" si="0">IF(ISNUMBER(S10),S10," - ")</f>
        <v>68</v>
      </c>
      <c r="AZ10" s="139">
        <f t="shared" si="0"/>
        <v>153</v>
      </c>
      <c r="BA10" s="139">
        <f t="shared" si="0"/>
        <v>92</v>
      </c>
      <c r="BB10" s="139">
        <f t="shared" si="0"/>
        <v>140</v>
      </c>
      <c r="BC10" s="135">
        <f t="shared" si="0"/>
        <v>26</v>
      </c>
      <c r="BD10" s="136">
        <f>IF(ISNUMBER(BA10/AZ10),BA10/AZ10," - ")</f>
        <v>0.60130718954248363</v>
      </c>
      <c r="BE10" s="137">
        <f>IF(ISNUMBER(BB10/BA10),BB10/BA10, " - ")</f>
        <v>1.5217391304347827</v>
      </c>
      <c r="BF10" s="137">
        <f>IF(ISNUMBER(BC10/BA10),BC10/BA10, " - ")</f>
        <v>0.28260869565217389</v>
      </c>
      <c r="BG10" s="209">
        <f>IF(ISNUMBER((AY10+AZ10)/BA10),(AY10+AZ10)/BA10," - ")</f>
        <v>2.402173913043478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1044</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1097</v>
      </c>
      <c r="J11" s="196" t="s">
        <v>1078</v>
      </c>
      <c r="K11" s="196" t="s">
        <v>1098</v>
      </c>
      <c r="L11" s="196" t="s">
        <v>1117</v>
      </c>
      <c r="M11" s="196" t="s">
        <v>649</v>
      </c>
      <c r="N11" s="196" t="s">
        <v>664</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1079</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1080</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v>
      </c>
      <c r="J12" s="196">
        <v>0</v>
      </c>
      <c r="K12" s="196">
        <v>0</v>
      </c>
      <c r="L12" s="196">
        <v>1</v>
      </c>
      <c r="M12" s="196">
        <v>0</v>
      </c>
      <c r="N12" s="196">
        <v>11</v>
      </c>
      <c r="O12" s="194">
        <v>28</v>
      </c>
      <c r="P12" s="196">
        <v>8</v>
      </c>
      <c r="Q12" s="196">
        <v>67</v>
      </c>
      <c r="R12" s="196">
        <v>1103</v>
      </c>
      <c r="S12" s="196">
        <v>1</v>
      </c>
      <c r="T12" s="196">
        <v>6</v>
      </c>
      <c r="U12" s="196">
        <v>8</v>
      </c>
      <c r="V12" s="196">
        <v>1</v>
      </c>
      <c r="W12" s="196">
        <v>0</v>
      </c>
      <c r="X12" s="202">
        <v>2</v>
      </c>
      <c r="Y12" s="204">
        <v>0</v>
      </c>
      <c r="Z12" s="194">
        <v>8</v>
      </c>
      <c r="AA12" s="194">
        <v>7</v>
      </c>
      <c r="AB12" s="194">
        <v>1</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1081</v>
      </c>
      <c r="AT12" s="216"/>
      <c r="AU12" s="215"/>
      <c r="AV12" s="216"/>
      <c r="AW12" s="215"/>
      <c r="AX12" s="216"/>
      <c r="AY12" s="136">
        <f t="shared" si="1"/>
        <v>1</v>
      </c>
      <c r="AZ12" s="137">
        <f t="shared" si="1"/>
        <v>6</v>
      </c>
      <c r="BA12" s="137">
        <f t="shared" si="1"/>
        <v>8</v>
      </c>
      <c r="BB12" s="137">
        <f t="shared" si="1"/>
        <v>1</v>
      </c>
      <c r="BC12" s="135">
        <f>IF(ISNUMBER(X12),X12," - ")</f>
        <v>2</v>
      </c>
      <c r="BD12" s="136">
        <f t="shared" si="2"/>
        <v>1.3333333333333333</v>
      </c>
      <c r="BE12" s="137">
        <f t="shared" si="3"/>
        <v>0.125</v>
      </c>
      <c r="BF12" s="137">
        <f t="shared" si="4"/>
        <v>0.25</v>
      </c>
      <c r="BG12" s="209">
        <f t="shared" si="5"/>
        <v>0.875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1082</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666</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5132</v>
      </c>
      <c r="J14" s="197">
        <f t="shared" si="7"/>
        <v>10923</v>
      </c>
      <c r="K14" s="197">
        <f t="shared" si="7"/>
        <v>10656</v>
      </c>
      <c r="L14" s="197">
        <f t="shared" si="7"/>
        <v>5556</v>
      </c>
      <c r="M14" s="197">
        <f t="shared" si="7"/>
        <v>2347</v>
      </c>
      <c r="N14" s="197">
        <f t="shared" si="7"/>
        <v>4973</v>
      </c>
      <c r="O14" s="197">
        <f t="shared" si="7"/>
        <v>4527</v>
      </c>
      <c r="P14" s="197">
        <f t="shared" si="7"/>
        <v>2511</v>
      </c>
      <c r="Q14" s="197">
        <f t="shared" si="7"/>
        <v>2146</v>
      </c>
      <c r="R14" s="197">
        <f t="shared" si="7"/>
        <v>9490</v>
      </c>
      <c r="S14" s="197">
        <f t="shared" si="7"/>
        <v>4567</v>
      </c>
      <c r="T14" s="197">
        <f t="shared" si="7"/>
        <v>8730</v>
      </c>
      <c r="U14" s="197">
        <f t="shared" si="7"/>
        <v>7999</v>
      </c>
      <c r="V14" s="197">
        <f t="shared" si="7"/>
        <v>5132</v>
      </c>
      <c r="W14" s="197">
        <f t="shared" si="7"/>
        <v>1682</v>
      </c>
      <c r="X14" s="197">
        <f t="shared" si="7"/>
        <v>4069</v>
      </c>
      <c r="Y14" s="197">
        <f t="shared" si="7"/>
        <v>224</v>
      </c>
      <c r="Z14" s="197">
        <f t="shared" si="7"/>
        <v>654</v>
      </c>
      <c r="AA14" s="197">
        <f t="shared" si="7"/>
        <v>682</v>
      </c>
      <c r="AB14" s="197">
        <f t="shared" si="7"/>
        <v>188</v>
      </c>
      <c r="AC14" s="197">
        <f t="shared" si="7"/>
        <v>0</v>
      </c>
      <c r="AD14" s="197">
        <f t="shared" si="7"/>
        <v>0</v>
      </c>
      <c r="AE14" s="197">
        <f t="shared" si="7"/>
        <v>0</v>
      </c>
      <c r="AF14" s="197">
        <f>SUBTOTAL(9,AF9:AF13)</f>
        <v>0</v>
      </c>
      <c r="AG14" s="197">
        <f t="shared" ref="AG14:AT14" si="8">SUBTOTAL(9,AG8:AG13)</f>
        <v>217</v>
      </c>
      <c r="AH14" s="197">
        <f t="shared" si="8"/>
        <v>538</v>
      </c>
      <c r="AI14" s="197">
        <f t="shared" si="8"/>
        <v>516</v>
      </c>
      <c r="AJ14" s="197">
        <f t="shared" si="8"/>
        <v>224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4784</v>
      </c>
      <c r="AZ14" s="197">
        <f>SUBTOTAL(9,AZ8:AZ13)</f>
        <v>9268</v>
      </c>
      <c r="BA14" s="197">
        <f>SUBTOTAL(9,BA8:BA13)</f>
        <v>8515</v>
      </c>
      <c r="BB14" s="197">
        <f>SUBTOTAL(9,BB8:BB13)</f>
        <v>5356</v>
      </c>
      <c r="BC14" s="197">
        <f>SUBTOTAL(9,BC8:BC13)</f>
        <v>4061</v>
      </c>
      <c r="BD14" s="219">
        <f>IF(ISNUMBER(BA14/AZ14),BA14/AZ14," - ")</f>
        <v>0.91875269745360377</v>
      </c>
      <c r="BE14" s="220">
        <f>IF(ISNUMBER(BB14/BA14),BB14/BA14, " - ")</f>
        <v>0.62900763358778622</v>
      </c>
      <c r="BF14" s="220">
        <f>IF(ISNUMBER(BC14/BA14),BC14/BA14, " - ")</f>
        <v>0.47692307692307695</v>
      </c>
      <c r="BG14" s="221">
        <f>IF(ISNUMBER((AY14+AZ14)/BA14),(AY14+AZ14)/BA14," - ")</f>
        <v>1.6502642395772167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2215</v>
      </c>
      <c r="J16" s="196">
        <v>9896</v>
      </c>
      <c r="K16" s="196">
        <v>10176</v>
      </c>
      <c r="L16" s="196">
        <v>1999</v>
      </c>
      <c r="M16" s="196">
        <v>1545</v>
      </c>
      <c r="N16" s="196">
        <v>5928</v>
      </c>
      <c r="O16" s="194">
        <v>136</v>
      </c>
      <c r="P16" s="196">
        <v>377</v>
      </c>
      <c r="Q16" s="196">
        <v>336</v>
      </c>
      <c r="R16" s="196">
        <v>304</v>
      </c>
      <c r="S16" s="196">
        <v>1787</v>
      </c>
      <c r="T16" s="196">
        <v>8768</v>
      </c>
      <c r="U16" s="196">
        <v>7817</v>
      </c>
      <c r="V16" s="196">
        <v>2215</v>
      </c>
      <c r="W16" s="196">
        <v>1000</v>
      </c>
      <c r="X16" s="202">
        <v>5164</v>
      </c>
      <c r="Y16" s="215">
        <v>0</v>
      </c>
      <c r="Z16" s="196">
        <v>0</v>
      </c>
      <c r="AA16" s="196">
        <v>0</v>
      </c>
      <c r="AB16" s="196">
        <v>0</v>
      </c>
      <c r="AC16" s="196">
        <v>0</v>
      </c>
      <c r="AD16" s="196">
        <v>0</v>
      </c>
      <c r="AE16" s="196">
        <v>0</v>
      </c>
      <c r="AF16" s="202">
        <v>0</v>
      </c>
      <c r="AG16" s="215">
        <v>0</v>
      </c>
      <c r="AH16" s="196">
        <v>0</v>
      </c>
      <c r="AI16" s="196">
        <v>0</v>
      </c>
      <c r="AJ16" s="216">
        <v>0</v>
      </c>
      <c r="AK16" s="195">
        <v>2</v>
      </c>
      <c r="AL16" s="196">
        <v>2</v>
      </c>
      <c r="AM16" s="196">
        <v>4</v>
      </c>
      <c r="AN16" s="202">
        <v>0</v>
      </c>
      <c r="AO16" s="283">
        <v>3</v>
      </c>
      <c r="AP16" s="168">
        <v>3</v>
      </c>
      <c r="AQ16" s="168">
        <v>3</v>
      </c>
      <c r="AR16" s="168">
        <v>3</v>
      </c>
      <c r="AS16" s="382" t="s">
        <v>699</v>
      </c>
      <c r="AT16" s="216" t="s">
        <v>428</v>
      </c>
      <c r="AU16" s="215"/>
      <c r="AV16" s="216"/>
      <c r="AW16" s="215"/>
      <c r="AX16" s="216"/>
      <c r="AY16" s="138">
        <f t="shared" ref="AY16:BB17" si="10">IF(ISNUMBER(IF(D_I="SI",S16,S16+AK16)),IF(D_I="SI",S16,S16+AK16)," - ")</f>
        <v>1787</v>
      </c>
      <c r="AZ16" s="139">
        <f t="shared" si="10"/>
        <v>8768</v>
      </c>
      <c r="BA16" s="139">
        <f t="shared" si="10"/>
        <v>7817</v>
      </c>
      <c r="BB16" s="139">
        <f t="shared" si="10"/>
        <v>2215</v>
      </c>
      <c r="BC16" s="135">
        <f>IF(ISNUMBER(W16),W16," - ")</f>
        <v>1000</v>
      </c>
      <c r="BD16" s="136">
        <f>IF(ISNUMBER(BA16/AZ16),BA16/AZ16," - ")</f>
        <v>0.89153740875912413</v>
      </c>
      <c r="BE16" s="137">
        <f>IF(ISNUMBER(BB16/BA16),BB16/BA16, " - ")</f>
        <v>0.28335678649098117</v>
      </c>
      <c r="BF16" s="137">
        <f>IF(ISNUMBER(BC16/BA16),BC16/BA16, " - ")</f>
        <v>0.12792631444288091</v>
      </c>
      <c r="BG16" s="209">
        <f t="shared" ref="BG16:BG22" si="11">IF(ISNUMBER((AY16+AZ16)/BA16),(AY16+AZ16)/BA16," - ")</f>
        <v>1.3502622489446079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1083</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6</v>
      </c>
      <c r="J17" s="196">
        <v>0</v>
      </c>
      <c r="K17" s="196">
        <v>0</v>
      </c>
      <c r="L17" s="196">
        <v>6</v>
      </c>
      <c r="M17" s="196">
        <v>0</v>
      </c>
      <c r="N17" s="196">
        <v>0</v>
      </c>
      <c r="O17" s="194">
        <v>0</v>
      </c>
      <c r="P17" s="196">
        <v>0</v>
      </c>
      <c r="Q17" s="196">
        <v>0</v>
      </c>
      <c r="R17" s="196">
        <v>4</v>
      </c>
      <c r="S17" s="196">
        <v>6</v>
      </c>
      <c r="T17" s="196">
        <v>0</v>
      </c>
      <c r="U17" s="196">
        <v>2</v>
      </c>
      <c r="V17" s="196">
        <v>6</v>
      </c>
      <c r="W17" s="196">
        <v>0</v>
      </c>
      <c r="X17" s="202">
        <v>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2" t="s">
        <v>647</v>
      </c>
      <c r="AT17" s="216"/>
      <c r="AU17" s="215"/>
      <c r="AV17" s="216"/>
      <c r="AW17" s="215"/>
      <c r="AX17" s="216"/>
      <c r="AY17" s="136">
        <f t="shared" si="10"/>
        <v>6</v>
      </c>
      <c r="AZ17" s="137">
        <f t="shared" si="10"/>
        <v>0</v>
      </c>
      <c r="BA17" s="137">
        <f t="shared" si="10"/>
        <v>2</v>
      </c>
      <c r="BB17" s="137">
        <f t="shared" si="10"/>
        <v>6</v>
      </c>
      <c r="BC17" s="135">
        <f>IF(ISNUMBER(W17),W17," - ")</f>
        <v>0</v>
      </c>
      <c r="BD17" s="136" t="str">
        <f t="shared" ref="BD17:BD22" si="12">IF(ISNUMBER(BA17/AZ17),BA17/AZ17," - ")</f>
        <v xml:space="preserve"> - </v>
      </c>
      <c r="BE17" s="137">
        <f t="shared" ref="BE17:BE22" si="13">IF(ISNUMBER(BB17/BA17),BB17/BA17, " - ")</f>
        <v>3</v>
      </c>
      <c r="BF17" s="137">
        <f t="shared" ref="BF17:BF22" si="14">IF(ISNUMBER(BC17/BA17),BC17/BA17, " - ")</f>
        <v>0</v>
      </c>
      <c r="BG17" s="209">
        <f t="shared" si="11"/>
        <v>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1050</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207</v>
      </c>
      <c r="J18" s="196">
        <v>728</v>
      </c>
      <c r="K18" s="196">
        <v>788</v>
      </c>
      <c r="L18" s="196">
        <v>147</v>
      </c>
      <c r="M18" s="196">
        <v>289</v>
      </c>
      <c r="N18" s="196">
        <v>434</v>
      </c>
      <c r="O18" s="196">
        <v>71</v>
      </c>
      <c r="P18" s="196">
        <v>88</v>
      </c>
      <c r="Q18" s="196">
        <v>80</v>
      </c>
      <c r="R18" s="196">
        <v>57</v>
      </c>
      <c r="S18" s="196">
        <v>89</v>
      </c>
      <c r="T18" s="196">
        <v>729</v>
      </c>
      <c r="U18" s="196">
        <v>642</v>
      </c>
      <c r="V18" s="196">
        <v>207</v>
      </c>
      <c r="W18" s="196">
        <v>207</v>
      </c>
      <c r="X18" s="202">
        <v>434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1069</v>
      </c>
      <c r="AT18" s="223"/>
      <c r="AU18" s="213"/>
      <c r="AV18" s="223"/>
      <c r="AW18" s="213"/>
      <c r="AX18" s="223"/>
      <c r="AY18" s="138">
        <f t="shared" ref="AY18:BB19" si="15">IF(ISNUMBER(S18),S18," - ")</f>
        <v>89</v>
      </c>
      <c r="AZ18" s="139">
        <f t="shared" si="15"/>
        <v>729</v>
      </c>
      <c r="BA18" s="139">
        <f t="shared" si="15"/>
        <v>642</v>
      </c>
      <c r="BB18" s="139">
        <f t="shared" si="15"/>
        <v>207</v>
      </c>
      <c r="BC18" s="135">
        <f>IF(ISNUMBER(W18),W18," - ")</f>
        <v>207</v>
      </c>
      <c r="BD18" s="136">
        <f>IF(ISNUMBER(BA18/AZ18),BA18/AZ18," - ")</f>
        <v>0.88065843621399176</v>
      </c>
      <c r="BE18" s="137">
        <f>IF(ISNUMBER(BB18/BA18),BB18/BA18, " - ")</f>
        <v>0.32242990654205606</v>
      </c>
      <c r="BF18" s="137">
        <f>IF(ISNUMBER(BC18/BA18),BC18/BA18, " - ")</f>
        <v>0.32242990654205606</v>
      </c>
      <c r="BG18" s="209">
        <f>IF(ISNUMBER((AY18+AZ18)/BA18),(AY18+AZ18)/BA18," - ")</f>
        <v>1.2741433021806854</v>
      </c>
      <c r="BH18" s="168">
        <v>1</v>
      </c>
      <c r="BI18" s="168"/>
      <c r="BJ18" s="213"/>
      <c r="BK18" s="167"/>
      <c r="BL18" s="167"/>
      <c r="BM18" s="167">
        <v>1800</v>
      </c>
      <c r="BN18" s="167"/>
      <c r="BO18" s="167"/>
      <c r="BP18" s="167"/>
      <c r="BQ18" s="167"/>
      <c r="BR18" s="167"/>
      <c r="BS18" s="167"/>
      <c r="BT18" s="167"/>
      <c r="BU18" s="167"/>
      <c r="BV18" s="167"/>
      <c r="BW18" s="167"/>
      <c r="BX18" s="167"/>
      <c r="BY18" s="187" t="s">
        <v>939</v>
      </c>
      <c r="BZ18" s="187" t="s">
        <v>940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1051</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1023</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670</v>
      </c>
      <c r="J21" s="196" t="s">
        <v>671</v>
      </c>
      <c r="K21" s="196" t="s">
        <v>672</v>
      </c>
      <c r="L21" s="196" t="s">
        <v>669</v>
      </c>
      <c r="M21" s="196" t="s">
        <v>673</v>
      </c>
      <c r="N21" s="196" t="s">
        <v>706</v>
      </c>
      <c r="O21" s="196" t="s">
        <v>298</v>
      </c>
      <c r="P21" s="196" t="s">
        <v>214</v>
      </c>
      <c r="Q21" s="196" t="s">
        <v>667</v>
      </c>
      <c r="R21" s="196" t="s">
        <v>668</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1035</v>
      </c>
      <c r="EP21" s="382"/>
      <c r="EQ21" s="382"/>
      <c r="ER21" s="1345" t="s">
        <v>1018</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1026</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2428</v>
      </c>
      <c r="J23" s="197">
        <f t="shared" si="21"/>
        <v>10624</v>
      </c>
      <c r="K23" s="197">
        <f t="shared" si="21"/>
        <v>10964</v>
      </c>
      <c r="L23" s="197">
        <f t="shared" si="21"/>
        <v>2152</v>
      </c>
      <c r="M23" s="197">
        <f t="shared" si="21"/>
        <v>1834</v>
      </c>
      <c r="N23" s="197">
        <f t="shared" si="21"/>
        <v>6362</v>
      </c>
      <c r="O23" s="197">
        <f t="shared" si="21"/>
        <v>207</v>
      </c>
      <c r="P23" s="197">
        <f t="shared" si="21"/>
        <v>465</v>
      </c>
      <c r="Q23" s="197">
        <f t="shared" si="21"/>
        <v>416</v>
      </c>
      <c r="R23" s="197">
        <f t="shared" si="21"/>
        <v>365</v>
      </c>
      <c r="S23" s="197">
        <f t="shared" si="21"/>
        <v>1882</v>
      </c>
      <c r="T23" s="197">
        <f t="shared" si="21"/>
        <v>9497</v>
      </c>
      <c r="U23" s="197">
        <f t="shared" si="21"/>
        <v>8461</v>
      </c>
      <c r="V23" s="197">
        <f t="shared" si="21"/>
        <v>2428</v>
      </c>
      <c r="W23" s="197">
        <f t="shared" si="21"/>
        <v>1207</v>
      </c>
      <c r="X23" s="197">
        <f t="shared" si="21"/>
        <v>5600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2</v>
      </c>
      <c r="AM23" s="197">
        <f t="shared" si="21"/>
        <v>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1882</v>
      </c>
      <c r="AZ23" s="197">
        <f>SUBTOTAL(9,AZ15:AZ22)</f>
        <v>9497</v>
      </c>
      <c r="BA23" s="197">
        <f>SUBTOTAL(9,BA15:BA22)</f>
        <v>8461</v>
      </c>
      <c r="BB23" s="197">
        <f>SUBTOTAL(9,BB15:BB22)</f>
        <v>2428</v>
      </c>
      <c r="BC23" s="197">
        <f>SUBTOTAL(9,BC15:BC22)</f>
        <v>1207</v>
      </c>
      <c r="BD23" s="219">
        <f>IF(ISNUMBER(BA23/AZ23),BA23/AZ23," - ")</f>
        <v>0.89091291986943244</v>
      </c>
      <c r="BE23" s="220">
        <f>IF(ISNUMBER(BB23/BA23),BB23/BA23, " - ")</f>
        <v>0.28696371587282826</v>
      </c>
      <c r="BF23" s="220">
        <f>IF(ISNUMBER(BC23/BA23),BC23/BA23, " - ")</f>
        <v>0.14265453256116298</v>
      </c>
      <c r="BG23" s="221">
        <f>IF(ISNUMBER((AY23+AZ23)/BA23),(AY23+AZ23)/BA23," - ")</f>
        <v>1.3448764921404088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704</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1014</v>
      </c>
      <c r="EP28" s="1340"/>
      <c r="EQ28" s="1340"/>
      <c r="ER28" s="1345" t="s">
        <v>1017</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705</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1038</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7560</v>
      </c>
      <c r="J31" s="144">
        <f t="shared" si="36"/>
        <v>21547</v>
      </c>
      <c r="K31" s="144">
        <f t="shared" si="36"/>
        <v>21620</v>
      </c>
      <c r="L31" s="144">
        <f t="shared" si="36"/>
        <v>7708</v>
      </c>
      <c r="M31" s="144">
        <f t="shared" si="36"/>
        <v>4181</v>
      </c>
      <c r="N31" s="144">
        <f t="shared" si="36"/>
        <v>11335</v>
      </c>
      <c r="O31" s="144">
        <f t="shared" si="36"/>
        <v>4734</v>
      </c>
      <c r="P31" s="144">
        <f t="shared" si="36"/>
        <v>2976</v>
      </c>
      <c r="Q31" s="144">
        <f t="shared" si="36"/>
        <v>2562</v>
      </c>
      <c r="R31" s="144">
        <f t="shared" si="36"/>
        <v>9855</v>
      </c>
      <c r="S31" s="144">
        <f t="shared" si="36"/>
        <v>6449</v>
      </c>
      <c r="T31" s="144">
        <f t="shared" si="36"/>
        <v>18227</v>
      </c>
      <c r="U31" s="144">
        <f t="shared" si="36"/>
        <v>16460</v>
      </c>
      <c r="V31" s="144">
        <f t="shared" si="36"/>
        <v>7560</v>
      </c>
      <c r="W31" s="144">
        <f t="shared" si="36"/>
        <v>2889</v>
      </c>
      <c r="X31" s="144">
        <f t="shared" si="36"/>
        <v>9669</v>
      </c>
      <c r="Y31" s="144">
        <f t="shared" si="36"/>
        <v>224</v>
      </c>
      <c r="Z31" s="144">
        <f t="shared" si="36"/>
        <v>654</v>
      </c>
      <c r="AA31" s="144">
        <f t="shared" si="36"/>
        <v>682</v>
      </c>
      <c r="AB31" s="144">
        <f t="shared" si="36"/>
        <v>188</v>
      </c>
      <c r="AC31" s="144">
        <f t="shared" si="36"/>
        <v>0</v>
      </c>
      <c r="AD31" s="144">
        <f t="shared" si="36"/>
        <v>0</v>
      </c>
      <c r="AE31" s="144">
        <f t="shared" si="36"/>
        <v>0</v>
      </c>
      <c r="AF31" s="144">
        <f t="shared" si="36"/>
        <v>0</v>
      </c>
      <c r="AG31" s="144">
        <f t="shared" si="36"/>
        <v>217</v>
      </c>
      <c r="AH31" s="144">
        <f t="shared" si="36"/>
        <v>538</v>
      </c>
      <c r="AI31" s="144">
        <f t="shared" si="36"/>
        <v>516</v>
      </c>
      <c r="AJ31" s="144">
        <f t="shared" si="36"/>
        <v>224</v>
      </c>
      <c r="AK31" s="144">
        <f t="shared" si="36"/>
        <v>2</v>
      </c>
      <c r="AL31" s="144">
        <f t="shared" si="36"/>
        <v>2</v>
      </c>
      <c r="AM31" s="144">
        <f t="shared" si="36"/>
        <v>4</v>
      </c>
      <c r="AN31" s="224">
        <f t="shared" si="36"/>
        <v>0</v>
      </c>
      <c r="AO31" s="225">
        <v>10</v>
      </c>
      <c r="AP31" s="225">
        <v>9</v>
      </c>
      <c r="AQ31" s="225">
        <v>9</v>
      </c>
      <c r="AR31" s="225">
        <v>9</v>
      </c>
      <c r="AS31" s="166">
        <f t="shared" si="36"/>
        <v>0</v>
      </c>
      <c r="AT31" s="166">
        <f t="shared" si="36"/>
        <v>0</v>
      </c>
      <c r="AU31" s="225"/>
      <c r="AV31" s="226"/>
      <c r="AW31" s="225"/>
      <c r="AX31" s="226"/>
      <c r="AY31" s="143">
        <f>SUBTOTAL(9,AY9:AY30)</f>
        <v>6666</v>
      </c>
      <c r="AZ31" s="144">
        <f>SUBTOTAL(9,AZ9:AZ30)</f>
        <v>18765</v>
      </c>
      <c r="BA31" s="144">
        <f>SUBTOTAL(9,BA9:BA30)</f>
        <v>16976</v>
      </c>
      <c r="BB31" s="144">
        <f>SUBTOTAL(9,BB9:BB30)</f>
        <v>7784</v>
      </c>
      <c r="BC31" s="145">
        <f>SUBTOTAL(9,BC9:BC30)</f>
        <v>5268</v>
      </c>
      <c r="BD31" s="227">
        <f>IF(ISNUMBER(BA31/AZ31),BA31/AZ31," - ")</f>
        <v>0.90466293631761263</v>
      </c>
      <c r="BE31" s="224">
        <f>IF(ISNUMBER(BB31/BA31),BB31/BA31, " - ")</f>
        <v>0.45852968897266727</v>
      </c>
      <c r="BF31" s="224">
        <f>IF(ISNUMBER(BC31/BA31),BC31/BA31, " - ")</f>
        <v>0.31032045240339301</v>
      </c>
      <c r="BG31" s="145">
        <f>IF(ISNUMBER((AY31+AZ31)/BA31),(AY31+AZ31)/BA31," - ")</f>
        <v>1.4980560791705937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YxmKXW2PoEPtur2fN6WSgWhm2iu1x0TcfLrE3Q8MNFVyBxtSaa8VFDthWzT55FVJ2AUTcNcqczPOvxFAyXrQ==" saltValue="YhXu0BgqCZuX+Ujf9T8Nv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642</v>
      </c>
      <c r="DM5" s="1745" t="s">
        <v>711</v>
      </c>
      <c r="DN5" s="1745" t="s">
        <v>712</v>
      </c>
      <c r="DO5" s="1745" t="s">
        <v>713</v>
      </c>
      <c r="DP5" s="1745" t="s">
        <v>714</v>
      </c>
      <c r="DQ5" s="1745" t="s">
        <v>715</v>
      </c>
      <c r="DR5" s="1745" t="s">
        <v>716</v>
      </c>
      <c r="DS5" s="1745" t="s">
        <v>717</v>
      </c>
      <c r="DT5" s="1745" t="s">
        <v>718</v>
      </c>
      <c r="DU5" s="1752" t="s">
        <v>719</v>
      </c>
      <c r="DV5" s="1752" t="s">
        <v>720</v>
      </c>
      <c r="DW5" s="1749" t="s">
        <v>721</v>
      </c>
      <c r="DX5" s="1745" t="s">
        <v>722</v>
      </c>
      <c r="DY5" s="1733" t="s">
        <v>723</v>
      </c>
      <c r="DZ5" s="1749" t="s">
        <v>724</v>
      </c>
      <c r="EA5" s="1733" t="s">
        <v>725</v>
      </c>
      <c r="EB5" s="1742" t="s">
        <v>785</v>
      </c>
      <c r="EC5" s="1742" t="s">
        <v>822</v>
      </c>
      <c r="ED5" s="1742" t="s">
        <v>787</v>
      </c>
      <c r="EE5" s="1742" t="s">
        <v>827</v>
      </c>
      <c r="EF5" s="1742" t="s">
        <v>828</v>
      </c>
      <c r="EG5" s="1733" t="s">
        <v>829</v>
      </c>
      <c r="EH5" s="1733" t="s">
        <v>830</v>
      </c>
      <c r="EI5" s="1733" t="s">
        <v>789</v>
      </c>
      <c r="EJ5" s="1733" t="s">
        <v>790</v>
      </c>
      <c r="EK5" s="1841" t="s">
        <v>878</v>
      </c>
      <c r="EL5" s="1736" t="s">
        <v>896</v>
      </c>
      <c r="EM5" s="1737"/>
      <c r="EN5" s="1738"/>
      <c r="EO5" s="1727" t="s">
        <v>1002</v>
      </c>
      <c r="EP5" s="1727" t="s">
        <v>1004</v>
      </c>
      <c r="EQ5" s="1727" t="s">
        <v>1005</v>
      </c>
      <c r="ER5" s="1727" t="s">
        <v>1011</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897</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36"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536" t="s">
        <v>898</v>
      </c>
      <c r="EM8" s="536" t="s">
        <v>899</v>
      </c>
      <c r="EN8" s="536" t="s">
        <v>900</v>
      </c>
      <c r="EO8" s="53" t="s">
        <v>1003</v>
      </c>
      <c r="EP8" s="53" t="s">
        <v>1009</v>
      </c>
      <c r="EQ8" s="53" t="s">
        <v>1010</v>
      </c>
      <c r="ER8" s="536">
        <v>148</v>
      </c>
      <c r="ES8" s="536" t="s">
        <v>1022</v>
      </c>
      <c r="ET8" s="1522" t="s">
        <v>1140</v>
      </c>
      <c r="EU8" s="1522" t="s">
        <v>1141</v>
      </c>
    </row>
    <row r="9" spans="1:151" s="793" customFormat="1" ht="14.25" customHeight="1">
      <c r="A9" s="828" t="s">
        <v>72</v>
      </c>
      <c r="B9" s="775" t="s">
        <v>523</v>
      </c>
      <c r="C9" s="776" t="s">
        <v>8</v>
      </c>
      <c r="D9" s="777" t="s">
        <v>25</v>
      </c>
      <c r="E9" s="775" t="s">
        <v>26</v>
      </c>
      <c r="F9" s="775">
        <v>32</v>
      </c>
      <c r="G9" s="778"/>
      <c r="H9" s="829" t="s">
        <v>323</v>
      </c>
      <c r="I9" s="830" t="s">
        <v>1094</v>
      </c>
      <c r="J9" s="780" t="s">
        <v>1084</v>
      </c>
      <c r="K9" s="780" t="s">
        <v>1099</v>
      </c>
      <c r="L9" s="780" t="s">
        <v>1118</v>
      </c>
      <c r="M9" s="780" t="s">
        <v>650</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1085</v>
      </c>
      <c r="AT9" s="837"/>
      <c r="AU9" s="836" t="s">
        <v>1112</v>
      </c>
      <c r="AV9" s="837"/>
      <c r="AW9" s="836" t="s">
        <v>1119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658</v>
      </c>
      <c r="BW9" s="534" t="s">
        <v>392</v>
      </c>
      <c r="BX9" s="534" t="s">
        <v>393</v>
      </c>
      <c r="BY9" s="534" t="s">
        <v>1100</v>
      </c>
      <c r="BZ9" s="534" t="s">
        <v>644</v>
      </c>
      <c r="CA9" s="534" t="s">
        <v>537</v>
      </c>
      <c r="CB9" s="534" t="s">
        <v>538</v>
      </c>
      <c r="CC9" s="534" t="s">
        <v>539</v>
      </c>
      <c r="CD9" s="534" t="s">
        <v>540</v>
      </c>
      <c r="CE9" s="534"/>
      <c r="CF9" s="534"/>
      <c r="CG9" s="534"/>
      <c r="CH9" s="534"/>
      <c r="CI9" s="534" t="s">
        <v>675</v>
      </c>
      <c r="CJ9" s="534" t="s">
        <v>541</v>
      </c>
      <c r="CK9" s="534" t="s">
        <v>652</v>
      </c>
      <c r="CL9" s="534" t="s">
        <v>654</v>
      </c>
      <c r="CM9" s="534" t="s">
        <v>656</v>
      </c>
      <c r="CN9" s="534">
        <v>1088</v>
      </c>
      <c r="CO9" s="534">
        <v>720</v>
      </c>
      <c r="CP9" s="534">
        <v>1088</v>
      </c>
      <c r="CQ9" s="841" t="s">
        <v>1101</v>
      </c>
      <c r="CR9" s="841" t="s">
        <v>645</v>
      </c>
      <c r="CS9" s="534"/>
      <c r="CT9" s="534"/>
      <c r="CU9" s="534"/>
      <c r="CV9" s="534" t="s">
        <v>663</v>
      </c>
      <c r="CW9" s="534" t="s">
        <v>536</v>
      </c>
      <c r="CX9" s="534" t="s">
        <v>458</v>
      </c>
      <c r="CY9" s="534" t="s">
        <v>579</v>
      </c>
      <c r="CZ9" s="534" t="s">
        <v>580</v>
      </c>
      <c r="DA9" s="534" t="s">
        <v>581</v>
      </c>
      <c r="DB9" s="836" t="s">
        <v>1086</v>
      </c>
      <c r="DC9" s="836" t="s">
        <v>1087</v>
      </c>
      <c r="DD9" s="534"/>
      <c r="DE9" s="534" t="s">
        <v>314</v>
      </c>
      <c r="DF9" s="534"/>
      <c r="DG9" s="534" t="s">
        <v>592</v>
      </c>
      <c r="DH9" s="534" t="s">
        <v>660</v>
      </c>
      <c r="DI9" s="534" t="s">
        <v>661</v>
      </c>
      <c r="DJ9" s="534" t="s">
        <v>662</v>
      </c>
      <c r="DK9" s="534"/>
      <c r="DL9" s="534"/>
      <c r="DM9" s="534"/>
      <c r="DN9" s="534"/>
      <c r="DO9" s="534"/>
      <c r="DP9" s="534"/>
      <c r="DQ9" s="534"/>
      <c r="DR9" s="534"/>
      <c r="DS9" s="534"/>
      <c r="DT9" s="534"/>
      <c r="DU9" s="534" t="s">
        <v>885</v>
      </c>
      <c r="DV9" s="534" t="s">
        <v>880</v>
      </c>
      <c r="DW9" s="534" t="s">
        <v>881</v>
      </c>
      <c r="DX9" s="534" t="s">
        <v>882</v>
      </c>
      <c r="DY9" s="534" t="s">
        <v>883</v>
      </c>
      <c r="DZ9" s="534"/>
      <c r="EA9" s="534"/>
      <c r="EB9" s="534"/>
      <c r="EC9" s="534"/>
      <c r="ED9" s="534"/>
      <c r="EE9" s="534"/>
      <c r="EF9" s="534"/>
      <c r="EG9" s="534"/>
      <c r="EH9" s="534"/>
      <c r="EI9" s="534"/>
      <c r="EJ9" s="534"/>
      <c r="EK9" s="534"/>
      <c r="EL9" s="841" t="s">
        <v>1073</v>
      </c>
      <c r="EM9" s="841" t="s">
        <v>1074</v>
      </c>
      <c r="EN9" s="534" t="s">
        <v>1072</v>
      </c>
      <c r="EO9" s="1323" t="s">
        <v>1077</v>
      </c>
      <c r="EP9" s="1323" t="s">
        <v>1102</v>
      </c>
      <c r="EQ9" s="1323" t="s">
        <v>1120</v>
      </c>
      <c r="ER9" s="1341">
        <v>1200</v>
      </c>
      <c r="ES9" s="1336"/>
      <c r="ET9" s="1523"/>
      <c r="EU9" s="1523"/>
    </row>
    <row r="10" spans="1:151" ht="14.25" customHeight="1">
      <c r="A10" s="147" t="s">
        <v>191</v>
      </c>
      <c r="B10" s="21" t="s">
        <v>523</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1029</v>
      </c>
      <c r="AT10" s="66"/>
      <c r="AU10" s="161" t="s">
        <v>1030</v>
      </c>
      <c r="AV10" s="66"/>
      <c r="AW10" s="161" t="s">
        <v>1031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1032</v>
      </c>
      <c r="BZ10" s="167"/>
      <c r="CA10" s="167"/>
      <c r="CB10" s="167"/>
      <c r="CC10" s="167"/>
      <c r="CD10" s="167"/>
      <c r="CE10" s="167"/>
      <c r="CF10" s="167"/>
      <c r="CG10" s="167"/>
      <c r="CH10" s="167"/>
      <c r="CI10" s="167" t="s">
        <v>677</v>
      </c>
      <c r="CJ10" s="167" t="s">
        <v>389</v>
      </c>
      <c r="CK10" s="167" t="s">
        <v>609</v>
      </c>
      <c r="CL10" s="167" t="s">
        <v>610</v>
      </c>
      <c r="CM10" s="167" t="s">
        <v>611</v>
      </c>
      <c r="CN10" s="167">
        <v>1175</v>
      </c>
      <c r="CO10" s="167">
        <v>0</v>
      </c>
      <c r="CP10" s="315" t="s">
        <v>543</v>
      </c>
      <c r="CQ10" s="167" t="s">
        <v>1033</v>
      </c>
      <c r="CR10" s="167"/>
      <c r="CS10" s="167"/>
      <c r="CT10" s="169"/>
      <c r="CU10" s="169"/>
      <c r="CV10" s="169" t="s">
        <v>410</v>
      </c>
      <c r="CW10" s="169" t="s">
        <v>450</v>
      </c>
      <c r="CX10" s="169" t="s">
        <v>453</v>
      </c>
      <c r="CY10" s="169" t="s">
        <v>678</v>
      </c>
      <c r="CZ10" s="169" t="s">
        <v>679</v>
      </c>
      <c r="DA10" s="169" t="s">
        <v>680</v>
      </c>
      <c r="DB10" s="355" t="s">
        <v>693</v>
      </c>
      <c r="DC10" s="354"/>
      <c r="DD10" s="169"/>
      <c r="DE10" s="169" t="s">
        <v>315</v>
      </c>
      <c r="DF10" s="169"/>
      <c r="DG10" s="169" t="s">
        <v>681</v>
      </c>
      <c r="DH10" s="167" t="s">
        <v>557</v>
      </c>
      <c r="DI10" s="167" t="s">
        <v>555</v>
      </c>
      <c r="DJ10" s="167" t="s">
        <v>556</v>
      </c>
      <c r="DK10" s="167"/>
      <c r="DL10" s="167"/>
      <c r="DM10" s="315"/>
      <c r="DN10" s="315"/>
      <c r="DO10" s="315"/>
      <c r="DP10" s="315"/>
      <c r="DQ10" s="315"/>
      <c r="DR10" s="315"/>
      <c r="DS10" s="315"/>
      <c r="DT10" s="315"/>
      <c r="DU10" s="168" t="s">
        <v>807</v>
      </c>
      <c r="DV10" s="315" t="s">
        <v>934</v>
      </c>
      <c r="DW10" s="315" t="s">
        <v>931</v>
      </c>
      <c r="DX10" s="315" t="s">
        <v>932</v>
      </c>
      <c r="DY10" s="315" t="s">
        <v>933</v>
      </c>
      <c r="DZ10" s="315"/>
      <c r="EA10" s="315"/>
      <c r="EB10" s="315"/>
      <c r="EC10" s="315"/>
      <c r="ED10" s="315"/>
      <c r="EE10" s="315"/>
      <c r="EF10" s="315"/>
      <c r="EG10" s="315"/>
      <c r="EH10" s="315"/>
      <c r="EI10" s="315"/>
      <c r="EJ10" s="315"/>
      <c r="EK10" s="315"/>
      <c r="EL10" s="315"/>
      <c r="EM10" s="315"/>
      <c r="EN10" s="315"/>
      <c r="EO10" s="355" t="s">
        <v>1044</v>
      </c>
      <c r="EP10" s="355" t="s">
        <v>1045</v>
      </c>
      <c r="EQ10" s="355" t="s">
        <v>1046</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1095</v>
      </c>
      <c r="J11" s="350" t="s">
        <v>1088</v>
      </c>
      <c r="K11" s="350" t="s">
        <v>1113</v>
      </c>
      <c r="L11" s="350" t="s">
        <v>1121</v>
      </c>
      <c r="M11" s="350" t="s">
        <v>649</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1089</v>
      </c>
      <c r="AT11" s="783"/>
      <c r="AU11" s="782" t="s">
        <v>1114</v>
      </c>
      <c r="AV11" s="783"/>
      <c r="AW11" s="782" t="s">
        <v>1122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657</v>
      </c>
      <c r="BW11" s="534" t="s">
        <v>334</v>
      </c>
      <c r="BX11" s="534" t="s">
        <v>335</v>
      </c>
      <c r="BY11" s="796" t="s">
        <v>1115</v>
      </c>
      <c r="BZ11" s="534" t="s">
        <v>999</v>
      </c>
      <c r="CA11" s="534" t="s">
        <v>370</v>
      </c>
      <c r="CB11" s="534" t="s">
        <v>365</v>
      </c>
      <c r="CC11" s="534" t="s">
        <v>366</v>
      </c>
      <c r="CD11" s="534" t="s">
        <v>367</v>
      </c>
      <c r="CE11" s="796"/>
      <c r="CF11" s="796"/>
      <c r="CG11" s="796"/>
      <c r="CH11" s="796"/>
      <c r="CI11" s="796" t="s">
        <v>646</v>
      </c>
      <c r="CJ11" s="796" t="s">
        <v>383</v>
      </c>
      <c r="CK11" s="534" t="s">
        <v>651</v>
      </c>
      <c r="CL11" s="534" t="s">
        <v>653</v>
      </c>
      <c r="CM11" s="534" t="s">
        <v>655</v>
      </c>
      <c r="CN11" s="534">
        <v>1088</v>
      </c>
      <c r="CO11" s="796">
        <v>1000</v>
      </c>
      <c r="CP11" s="534">
        <v>1088</v>
      </c>
      <c r="CQ11" s="534" t="s">
        <v>1103</v>
      </c>
      <c r="CR11" s="534" t="s">
        <v>1000</v>
      </c>
      <c r="CS11" s="796"/>
      <c r="CT11" s="534"/>
      <c r="CU11" s="534"/>
      <c r="CV11" s="534" t="s">
        <v>663</v>
      </c>
      <c r="CW11" s="534" t="s">
        <v>443</v>
      </c>
      <c r="CX11" s="534" t="s">
        <v>458</v>
      </c>
      <c r="CY11" s="534" t="s">
        <v>579</v>
      </c>
      <c r="CZ11" s="534" t="s">
        <v>580</v>
      </c>
      <c r="DA11" s="534" t="s">
        <v>581</v>
      </c>
      <c r="DB11" s="363" t="s">
        <v>1090</v>
      </c>
      <c r="DC11" s="363" t="s">
        <v>1091</v>
      </c>
      <c r="DD11" s="534"/>
      <c r="DE11" s="534" t="s">
        <v>316</v>
      </c>
      <c r="DF11" s="534"/>
      <c r="DG11" s="534" t="s">
        <v>592</v>
      </c>
      <c r="DH11" s="534" t="s">
        <v>660</v>
      </c>
      <c r="DI11" s="534" t="s">
        <v>661</v>
      </c>
      <c r="DJ11" s="534" t="s">
        <v>662</v>
      </c>
      <c r="DK11" s="534"/>
      <c r="DL11" s="534"/>
      <c r="DM11" s="841"/>
      <c r="DN11" s="841"/>
      <c r="DO11" s="841"/>
      <c r="DP11" s="841"/>
      <c r="DQ11" s="841"/>
      <c r="DR11" s="841"/>
      <c r="DS11" s="841"/>
      <c r="DT11" s="841"/>
      <c r="DU11" s="841" t="s">
        <v>885</v>
      </c>
      <c r="DV11" s="841" t="s">
        <v>880</v>
      </c>
      <c r="DW11" s="841" t="s">
        <v>881</v>
      </c>
      <c r="DX11" s="841" t="s">
        <v>882</v>
      </c>
      <c r="DY11" s="841" t="s">
        <v>883</v>
      </c>
      <c r="DZ11" s="841"/>
      <c r="EA11" s="841"/>
      <c r="EB11" s="841"/>
      <c r="EC11" s="841"/>
      <c r="ED11" s="841"/>
      <c r="EE11" s="841"/>
      <c r="EF11" s="841"/>
      <c r="EG11" s="841"/>
      <c r="EH11" s="841"/>
      <c r="EI11" s="841"/>
      <c r="EJ11" s="841"/>
      <c r="EK11" s="841"/>
      <c r="EL11" s="841"/>
      <c r="EM11" s="841"/>
      <c r="EN11" s="841"/>
      <c r="EO11" s="1367" t="s">
        <v>1128</v>
      </c>
      <c r="EP11" s="1367" t="s">
        <v>1104</v>
      </c>
      <c r="EQ11" s="1367" t="s">
        <v>1123</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1096</v>
      </c>
      <c r="J12" s="350" t="s">
        <v>1129</v>
      </c>
      <c r="K12" s="350" t="s">
        <v>1105</v>
      </c>
      <c r="L12" s="350" t="s">
        <v>1124</v>
      </c>
      <c r="M12" s="350" t="s">
        <v>683</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1130</v>
      </c>
      <c r="AT12" s="783"/>
      <c r="AU12" s="782" t="s">
        <v>1106</v>
      </c>
      <c r="AV12" s="783"/>
      <c r="AW12" s="782" t="s">
        <v>1125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659</v>
      </c>
      <c r="BW12" s="534" t="s">
        <v>503</v>
      </c>
      <c r="BX12" s="534" t="s">
        <v>504</v>
      </c>
      <c r="BY12" s="796" t="s">
        <v>1107</v>
      </c>
      <c r="BZ12" s="534"/>
      <c r="CA12" s="534" t="s">
        <v>370</v>
      </c>
      <c r="CB12" s="534" t="s">
        <v>365</v>
      </c>
      <c r="CC12" s="534" t="s">
        <v>366</v>
      </c>
      <c r="CD12" s="534" t="s">
        <v>367</v>
      </c>
      <c r="CE12" s="796"/>
      <c r="CF12" s="796"/>
      <c r="CG12" s="796"/>
      <c r="CH12" s="796"/>
      <c r="CI12" s="796" t="s">
        <v>646</v>
      </c>
      <c r="CJ12" s="796" t="s">
        <v>383</v>
      </c>
      <c r="CK12" s="534" t="s">
        <v>652</v>
      </c>
      <c r="CL12" s="534" t="s">
        <v>654</v>
      </c>
      <c r="CM12" s="534" t="s">
        <v>656</v>
      </c>
      <c r="CN12" s="841" t="s">
        <v>439</v>
      </c>
      <c r="CO12" s="796">
        <v>2880</v>
      </c>
      <c r="CP12" s="841" t="s">
        <v>396</v>
      </c>
      <c r="CQ12" s="841" t="s">
        <v>1108</v>
      </c>
      <c r="CR12" s="841"/>
      <c r="CS12" s="796"/>
      <c r="CT12" s="534"/>
      <c r="CU12" s="534"/>
      <c r="CV12" s="534" t="s">
        <v>663</v>
      </c>
      <c r="CW12" s="534" t="s">
        <v>443</v>
      </c>
      <c r="CX12" s="534" t="s">
        <v>458</v>
      </c>
      <c r="CY12" s="534" t="s">
        <v>579</v>
      </c>
      <c r="CZ12" s="534" t="s">
        <v>580</v>
      </c>
      <c r="DA12" s="534" t="s">
        <v>581</v>
      </c>
      <c r="DB12" s="836" t="s">
        <v>1131</v>
      </c>
      <c r="DC12" s="836" t="s">
        <v>1132</v>
      </c>
      <c r="DD12" s="534"/>
      <c r="DE12" s="534" t="s">
        <v>317</v>
      </c>
      <c r="DF12" s="534"/>
      <c r="DG12" s="534" t="s">
        <v>592</v>
      </c>
      <c r="DH12" s="534" t="s">
        <v>660</v>
      </c>
      <c r="DI12" s="534" t="s">
        <v>661</v>
      </c>
      <c r="DJ12" s="534" t="s">
        <v>662</v>
      </c>
      <c r="DK12" s="534"/>
      <c r="DL12" s="534"/>
      <c r="DM12" s="841"/>
      <c r="DN12" s="841"/>
      <c r="DO12" s="841"/>
      <c r="DP12" s="841"/>
      <c r="DQ12" s="841"/>
      <c r="DR12" s="841"/>
      <c r="DS12" s="841"/>
      <c r="DT12" s="841"/>
      <c r="DU12" s="841" t="s">
        <v>885</v>
      </c>
      <c r="DV12" s="841" t="s">
        <v>880</v>
      </c>
      <c r="DW12" s="841" t="s">
        <v>881</v>
      </c>
      <c r="DX12" s="841" t="s">
        <v>882</v>
      </c>
      <c r="DY12" s="841" t="s">
        <v>883</v>
      </c>
      <c r="DZ12" s="841"/>
      <c r="EA12" s="841"/>
      <c r="EB12" s="841"/>
      <c r="EC12" s="841"/>
      <c r="ED12" s="841"/>
      <c r="EE12" s="841"/>
      <c r="EF12" s="841"/>
      <c r="EG12" s="841"/>
      <c r="EH12" s="841"/>
      <c r="EI12" s="841"/>
      <c r="EJ12" s="841"/>
      <c r="EK12" s="841"/>
      <c r="EL12" s="841" t="s">
        <v>1073</v>
      </c>
      <c r="EM12" s="841" t="s">
        <v>1074</v>
      </c>
      <c r="EN12" s="534" t="s">
        <v>1072</v>
      </c>
      <c r="EO12" s="1323" t="s">
        <v>1092</v>
      </c>
      <c r="EP12" s="1323" t="s">
        <v>1109</v>
      </c>
      <c r="EQ12" s="1323" t="s">
        <v>1126</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666</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686</v>
      </c>
      <c r="J16" s="350" t="s">
        <v>1052</v>
      </c>
      <c r="K16" s="350" t="s">
        <v>1060</v>
      </c>
      <c r="L16" s="350" t="s">
        <v>1065</v>
      </c>
      <c r="M16" s="350" t="s">
        <v>685</v>
      </c>
      <c r="N16" s="350" t="s">
        <v>425</v>
      </c>
      <c r="O16" s="780" t="s">
        <v>426</v>
      </c>
      <c r="P16" s="350" t="s">
        <v>636</v>
      </c>
      <c r="Q16" s="350" t="s">
        <v>637</v>
      </c>
      <c r="R16" s="350" t="s">
        <v>638</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998</v>
      </c>
      <c r="AT16" s="783" t="s">
        <v>945</v>
      </c>
      <c r="AU16" s="782" t="s">
        <v>697</v>
      </c>
      <c r="AV16" s="783" t="s">
        <v>946</v>
      </c>
      <c r="AW16" s="782" t="s">
        <v>698</v>
      </c>
      <c r="AX16" s="783" t="s">
        <v>947</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1034</v>
      </c>
      <c r="BZ16" s="792" t="s">
        <v>1116</v>
      </c>
      <c r="CA16" s="791"/>
      <c r="CB16" s="791"/>
      <c r="CC16" s="791"/>
      <c r="CD16" s="791"/>
      <c r="CE16" s="791"/>
      <c r="CF16" s="791"/>
      <c r="CG16" s="791"/>
      <c r="CH16" s="791"/>
      <c r="CI16" s="791" t="s">
        <v>648</v>
      </c>
      <c r="CJ16" s="791" t="s">
        <v>518</v>
      </c>
      <c r="CK16" s="791" t="s">
        <v>615</v>
      </c>
      <c r="CL16" s="791" t="s">
        <v>616</v>
      </c>
      <c r="CM16" s="791" t="s">
        <v>617</v>
      </c>
      <c r="CN16" s="791">
        <v>1262</v>
      </c>
      <c r="CO16" s="791">
        <v>6600</v>
      </c>
      <c r="CP16" s="791">
        <v>1262</v>
      </c>
      <c r="CQ16" s="792" t="s">
        <v>687</v>
      </c>
      <c r="CR16" s="792" t="s">
        <v>1110</v>
      </c>
      <c r="CS16" s="791" t="s">
        <v>508</v>
      </c>
      <c r="CT16" s="534"/>
      <c r="CU16" s="534"/>
      <c r="CV16" s="534" t="s">
        <v>493</v>
      </c>
      <c r="CW16" s="534" t="s">
        <v>444</v>
      </c>
      <c r="CX16" s="534" t="s">
        <v>223</v>
      </c>
      <c r="CY16" s="534"/>
      <c r="CZ16" s="534"/>
      <c r="DA16" s="534"/>
      <c r="DB16" s="363" t="s">
        <v>1053</v>
      </c>
      <c r="DC16" s="363" t="s">
        <v>1054</v>
      </c>
      <c r="DD16" s="534"/>
      <c r="DE16" s="534" t="s">
        <v>695</v>
      </c>
      <c r="DF16" s="534" t="s">
        <v>535</v>
      </c>
      <c r="DG16" s="534"/>
      <c r="DH16" s="791" t="s">
        <v>552</v>
      </c>
      <c r="DI16" s="791" t="s">
        <v>553</v>
      </c>
      <c r="DJ16" s="791" t="s">
        <v>554</v>
      </c>
      <c r="DK16" s="791"/>
      <c r="DL16" s="791"/>
      <c r="DM16" s="791"/>
      <c r="DN16" s="791"/>
      <c r="DO16" s="791"/>
      <c r="DP16" s="791"/>
      <c r="DQ16" s="791"/>
      <c r="DR16" s="791"/>
      <c r="DS16" s="791"/>
      <c r="DT16" s="791"/>
      <c r="DU16" s="791" t="s">
        <v>806</v>
      </c>
      <c r="DV16" s="791"/>
      <c r="DW16" s="791"/>
      <c r="DX16" s="791"/>
      <c r="DY16" s="791"/>
      <c r="DZ16" s="791"/>
      <c r="EA16" s="791"/>
      <c r="EB16" s="791" t="s">
        <v>995</v>
      </c>
      <c r="EC16" s="791" t="s">
        <v>819</v>
      </c>
      <c r="ED16" s="791"/>
      <c r="EE16" s="791">
        <v>6000</v>
      </c>
      <c r="EF16" s="791">
        <v>650</v>
      </c>
      <c r="EG16" s="791"/>
      <c r="EH16" s="791"/>
      <c r="EI16" s="791" t="s">
        <v>820</v>
      </c>
      <c r="EJ16" s="791"/>
      <c r="EK16" s="791"/>
      <c r="EL16" s="791"/>
      <c r="EM16" s="791"/>
      <c r="EN16" s="791"/>
      <c r="EO16" s="1322" t="s">
        <v>1093</v>
      </c>
      <c r="EP16" s="1322" t="s">
        <v>1111</v>
      </c>
      <c r="EQ16" s="1322" t="s">
        <v>1127</v>
      </c>
      <c r="ER16" s="1345" t="s">
        <v>1043</v>
      </c>
      <c r="ES16" s="1337"/>
      <c r="ET16" s="1523"/>
      <c r="EU16" s="1523"/>
    </row>
    <row r="17" spans="1:151" ht="14.25" customHeight="1">
      <c r="A17" s="7" t="s">
        <v>525</v>
      </c>
      <c r="B17" s="21" t="s">
        <v>523</v>
      </c>
      <c r="C17" s="22" t="s">
        <v>8</v>
      </c>
      <c r="D17" s="23" t="s">
        <v>25</v>
      </c>
      <c r="E17" s="21" t="s">
        <v>25</v>
      </c>
      <c r="F17" s="21">
        <v>31</v>
      </c>
      <c r="G17" s="6"/>
      <c r="H17" s="24"/>
      <c r="I17" s="25" t="s">
        <v>686</v>
      </c>
      <c r="J17" s="26" t="s">
        <v>1055</v>
      </c>
      <c r="K17" s="26" t="s">
        <v>1061</v>
      </c>
      <c r="L17" s="26" t="s">
        <v>1066</v>
      </c>
      <c r="M17" s="26" t="s">
        <v>685</v>
      </c>
      <c r="N17" s="26" t="s">
        <v>203</v>
      </c>
      <c r="O17" s="60" t="s">
        <v>290</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1056</v>
      </c>
      <c r="AT17" s="27"/>
      <c r="AU17" s="52" t="s">
        <v>1062</v>
      </c>
      <c r="AV17" s="27"/>
      <c r="AW17" s="52" t="s">
        <v>1067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702</v>
      </c>
      <c r="BZ17" s="170"/>
      <c r="CA17" s="170"/>
      <c r="CB17" s="170"/>
      <c r="CC17" s="170"/>
      <c r="CD17" s="170"/>
      <c r="CE17" s="170"/>
      <c r="CF17" s="170"/>
      <c r="CG17" s="170"/>
      <c r="CH17" s="170"/>
      <c r="CI17" s="170" t="s">
        <v>648</v>
      </c>
      <c r="CJ17" s="170" t="s">
        <v>518</v>
      </c>
      <c r="CK17" s="168" t="s">
        <v>615</v>
      </c>
      <c r="CL17" s="168" t="s">
        <v>616</v>
      </c>
      <c r="CM17" s="168" t="s">
        <v>617</v>
      </c>
      <c r="CN17" s="315" t="s">
        <v>439</v>
      </c>
      <c r="CO17" s="170">
        <v>2880</v>
      </c>
      <c r="CP17" s="228" t="s">
        <v>397</v>
      </c>
      <c r="CQ17" s="228" t="s">
        <v>687</v>
      </c>
      <c r="CR17" s="228"/>
      <c r="CS17" s="168" t="s">
        <v>508</v>
      </c>
      <c r="CT17" s="169"/>
      <c r="CU17" s="169"/>
      <c r="CV17" s="169" t="s">
        <v>493</v>
      </c>
      <c r="CW17" s="169" t="s">
        <v>444</v>
      </c>
      <c r="CX17" s="169" t="s">
        <v>223</v>
      </c>
      <c r="CY17" s="169"/>
      <c r="CZ17" s="169"/>
      <c r="DA17" s="169"/>
      <c r="DB17" s="160" t="s">
        <v>1057</v>
      </c>
      <c r="DC17" s="160" t="s">
        <v>1058</v>
      </c>
      <c r="DD17" s="169"/>
      <c r="DE17" s="169" t="s">
        <v>695</v>
      </c>
      <c r="DF17" s="169" t="s">
        <v>535</v>
      </c>
      <c r="DG17" s="534"/>
      <c r="DH17" s="168" t="s">
        <v>552</v>
      </c>
      <c r="DI17" s="168" t="s">
        <v>553</v>
      </c>
      <c r="DJ17" s="168" t="s">
        <v>554</v>
      </c>
      <c r="DK17" s="168"/>
      <c r="DL17" s="168"/>
      <c r="DM17" s="168"/>
      <c r="DN17" s="168"/>
      <c r="DO17" s="168"/>
      <c r="DP17" s="168"/>
      <c r="DQ17" s="168"/>
      <c r="DR17" s="168"/>
      <c r="DS17" s="168"/>
      <c r="DT17" s="168"/>
      <c r="DU17" s="168" t="s">
        <v>806</v>
      </c>
      <c r="DV17" s="168"/>
      <c r="DW17" s="168"/>
      <c r="DX17" s="168"/>
      <c r="DY17" s="168"/>
      <c r="DZ17" s="168"/>
      <c r="EA17" s="168"/>
      <c r="EB17" s="168"/>
      <c r="EC17" s="168"/>
      <c r="ED17" s="168"/>
      <c r="EE17" s="168"/>
      <c r="EF17" s="168"/>
      <c r="EG17" s="168"/>
      <c r="EH17" s="168"/>
      <c r="EI17" s="168" t="s">
        <v>820</v>
      </c>
      <c r="EJ17" s="168"/>
      <c r="EK17" s="168"/>
      <c r="EL17" s="168"/>
      <c r="EM17" s="168"/>
      <c r="EN17" s="168"/>
      <c r="EO17" s="1322" t="s">
        <v>1059</v>
      </c>
      <c r="EP17" s="1322" t="s">
        <v>1063</v>
      </c>
      <c r="EQ17" s="1322" t="s">
        <v>1068</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1144</v>
      </c>
      <c r="K18" s="26" t="s">
        <v>194</v>
      </c>
      <c r="L18" s="26" t="s">
        <v>1064</v>
      </c>
      <c r="M18" s="26" t="s">
        <v>684</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708</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939</v>
      </c>
      <c r="BZ18" s="187" t="s">
        <v>994</v>
      </c>
      <c r="CA18" s="167"/>
      <c r="CB18" s="167"/>
      <c r="CC18" s="167"/>
      <c r="CD18" s="167"/>
      <c r="CE18" s="167"/>
      <c r="CF18" s="167"/>
      <c r="CG18" s="167"/>
      <c r="CH18" s="167"/>
      <c r="CI18" s="167" t="s">
        <v>676</v>
      </c>
      <c r="CJ18" s="167" t="s">
        <v>388</v>
      </c>
      <c r="CK18" s="167" t="s">
        <v>618</v>
      </c>
      <c r="CL18" s="167" t="s">
        <v>619</v>
      </c>
      <c r="CM18" s="167" t="s">
        <v>619</v>
      </c>
      <c r="CN18" s="167">
        <v>1175</v>
      </c>
      <c r="CO18" s="167">
        <v>1800</v>
      </c>
      <c r="CP18" s="315" t="s">
        <v>542</v>
      </c>
      <c r="CQ18" s="167" t="s">
        <v>993</v>
      </c>
      <c r="CR18" s="167"/>
      <c r="CS18" s="167" t="s">
        <v>825</v>
      </c>
      <c r="CT18" s="169"/>
      <c r="CU18" s="169"/>
      <c r="CV18" s="169" t="s">
        <v>409</v>
      </c>
      <c r="CW18" s="169" t="s">
        <v>449</v>
      </c>
      <c r="CX18" s="169" t="s">
        <v>452</v>
      </c>
      <c r="CY18" s="169"/>
      <c r="CZ18" s="169"/>
      <c r="DA18" s="169"/>
      <c r="DB18" s="355" t="s">
        <v>1051</v>
      </c>
      <c r="DC18" s="361"/>
      <c r="DD18" s="169"/>
      <c r="DE18" s="362" t="s">
        <v>694</v>
      </c>
      <c r="DF18" s="362" t="s">
        <v>193</v>
      </c>
      <c r="DG18" s="534"/>
      <c r="DH18" s="167" t="s">
        <v>560</v>
      </c>
      <c r="DI18" s="167" t="s">
        <v>558</v>
      </c>
      <c r="DJ18" s="167" t="s">
        <v>559</v>
      </c>
      <c r="DK18" s="167"/>
      <c r="DL18" s="167"/>
      <c r="DM18" s="168"/>
      <c r="DN18" s="168"/>
      <c r="DO18" s="168"/>
      <c r="DP18" s="168"/>
      <c r="DQ18" s="168"/>
      <c r="DR18" s="168"/>
      <c r="DS18" s="168"/>
      <c r="DT18" s="168"/>
      <c r="DU18" s="168" t="s">
        <v>807</v>
      </c>
      <c r="DV18" s="168"/>
      <c r="DW18" s="168"/>
      <c r="DX18" s="168"/>
      <c r="DY18" s="168"/>
      <c r="DZ18" s="168"/>
      <c r="EA18" s="168"/>
      <c r="EB18" s="168" t="s">
        <v>818</v>
      </c>
      <c r="EC18" s="168" t="s">
        <v>821</v>
      </c>
      <c r="ED18" s="168"/>
      <c r="EE18" s="168">
        <v>1200</v>
      </c>
      <c r="EF18" s="168">
        <v>600</v>
      </c>
      <c r="EG18" s="168"/>
      <c r="EH18" s="168"/>
      <c r="EI18" s="168" t="s">
        <v>823</v>
      </c>
      <c r="EJ18" s="168"/>
      <c r="EK18" s="168"/>
      <c r="EL18" s="168"/>
      <c r="EM18" s="168"/>
      <c r="EN18" s="168"/>
      <c r="EO18" s="355" t="s">
        <v>1051</v>
      </c>
      <c r="EP18" s="355" t="s">
        <v>194</v>
      </c>
      <c r="EQ18" s="355" t="s">
        <v>1064</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1133</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688</v>
      </c>
      <c r="BZ19" s="170"/>
      <c r="CA19" s="170"/>
      <c r="CB19" s="170"/>
      <c r="CC19" s="170"/>
      <c r="CD19" s="170"/>
      <c r="CE19" s="170"/>
      <c r="CF19" s="170"/>
      <c r="CG19" s="170"/>
      <c r="CH19" s="170"/>
      <c r="CI19" s="170" t="s">
        <v>665</v>
      </c>
      <c r="CJ19" s="170" t="s">
        <v>384</v>
      </c>
      <c r="CK19" s="170" t="s">
        <v>620</v>
      </c>
      <c r="CL19" s="170" t="s">
        <v>621</v>
      </c>
      <c r="CM19" s="170" t="s">
        <v>622</v>
      </c>
      <c r="CN19" s="170">
        <v>1262</v>
      </c>
      <c r="CO19" s="170">
        <v>700</v>
      </c>
      <c r="CP19" s="170">
        <v>1262</v>
      </c>
      <c r="CQ19" s="170" t="s">
        <v>997</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826</v>
      </c>
      <c r="DG19" s="534" t="s">
        <v>593</v>
      </c>
      <c r="DH19" s="170" t="s">
        <v>564</v>
      </c>
      <c r="DI19" s="170" t="s">
        <v>565</v>
      </c>
      <c r="DJ19" s="170" t="s">
        <v>566</v>
      </c>
      <c r="DK19" s="170"/>
      <c r="DL19" s="170"/>
      <c r="DM19" s="168"/>
      <c r="DN19" s="168"/>
      <c r="DO19" s="168"/>
      <c r="DP19" s="168"/>
      <c r="DQ19" s="168"/>
      <c r="DR19" s="168"/>
      <c r="DS19" s="168"/>
      <c r="DT19" s="168"/>
      <c r="DU19" s="168" t="s">
        <v>808</v>
      </c>
      <c r="DV19" s="168"/>
      <c r="DW19" s="168"/>
      <c r="DX19" s="168"/>
      <c r="DY19" s="168"/>
      <c r="DZ19" s="168"/>
      <c r="EA19" s="168"/>
      <c r="EB19" s="168"/>
      <c r="EC19" s="168"/>
      <c r="ED19" s="168"/>
      <c r="EE19" s="168"/>
      <c r="EF19" s="168"/>
      <c r="EG19" s="168"/>
      <c r="EH19" s="168"/>
      <c r="EI19" s="168"/>
      <c r="EJ19" s="168"/>
      <c r="EK19" s="168"/>
      <c r="EL19" s="168"/>
      <c r="EM19" s="168"/>
      <c r="EN19" s="168"/>
      <c r="EO19" s="1322" t="s">
        <v>1023</v>
      </c>
      <c r="EP19" s="1322" t="s">
        <v>1024</v>
      </c>
      <c r="EQ19" s="1322" t="s">
        <v>1025</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996</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948</v>
      </c>
      <c r="J21" s="26" t="s">
        <v>949</v>
      </c>
      <c r="K21" s="26" t="s">
        <v>950</v>
      </c>
      <c r="L21" s="26" t="s">
        <v>951</v>
      </c>
      <c r="M21" s="26" t="s">
        <v>952</v>
      </c>
      <c r="N21" s="26" t="s">
        <v>953</v>
      </c>
      <c r="O21" s="26" t="s">
        <v>954</v>
      </c>
      <c r="P21" s="26" t="s">
        <v>955</v>
      </c>
      <c r="Q21" s="26" t="s">
        <v>956</v>
      </c>
      <c r="R21" s="26" t="s">
        <v>957</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960</v>
      </c>
      <c r="AT21" s="27"/>
      <c r="AU21" s="52" t="s">
        <v>958</v>
      </c>
      <c r="AV21" s="27"/>
      <c r="AW21" s="52" t="s">
        <v>959</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961</v>
      </c>
      <c r="BW21" s="170" t="s">
        <v>403</v>
      </c>
      <c r="BX21" s="170" t="s">
        <v>404</v>
      </c>
      <c r="BY21" s="186" t="s">
        <v>992</v>
      </c>
      <c r="BZ21" s="186"/>
      <c r="CA21" s="170"/>
      <c r="CB21" s="170"/>
      <c r="CC21" s="170"/>
      <c r="CD21" s="170"/>
      <c r="CE21" s="170"/>
      <c r="CF21" s="170"/>
      <c r="CG21" s="170"/>
      <c r="CH21" s="170"/>
      <c r="CI21" s="170" t="s">
        <v>962</v>
      </c>
      <c r="CJ21" s="170" t="s">
        <v>963</v>
      </c>
      <c r="CK21" s="170" t="s">
        <v>964</v>
      </c>
      <c r="CL21" s="170" t="s">
        <v>965</v>
      </c>
      <c r="CM21" s="170" t="s">
        <v>966</v>
      </c>
      <c r="CN21" s="186" t="s">
        <v>419</v>
      </c>
      <c r="CO21" s="170">
        <v>450</v>
      </c>
      <c r="CP21" s="186" t="s">
        <v>419</v>
      </c>
      <c r="CQ21" s="186" t="s">
        <v>689</v>
      </c>
      <c r="CR21" s="186"/>
      <c r="CS21" s="170"/>
      <c r="CT21" s="169"/>
      <c r="CU21" s="169"/>
      <c r="CV21" s="169" t="s">
        <v>413</v>
      </c>
      <c r="CW21" s="169" t="s">
        <v>447</v>
      </c>
      <c r="CX21" s="169" t="s">
        <v>455</v>
      </c>
      <c r="CY21" s="169"/>
      <c r="CZ21" s="169"/>
      <c r="DA21" s="169"/>
      <c r="DB21" s="160" t="s">
        <v>960</v>
      </c>
      <c r="DC21" s="363" t="s">
        <v>214</v>
      </c>
      <c r="DD21" s="169"/>
      <c r="DE21" s="362" t="s">
        <v>967</v>
      </c>
      <c r="DF21" s="362" t="s">
        <v>991</v>
      </c>
      <c r="DG21" s="534"/>
      <c r="DH21" s="170" t="s">
        <v>567</v>
      </c>
      <c r="DI21" s="170" t="s">
        <v>568</v>
      </c>
      <c r="DJ21" s="170" t="s">
        <v>569</v>
      </c>
      <c r="DK21" s="170"/>
      <c r="DL21" s="170"/>
      <c r="DM21" s="168"/>
      <c r="DN21" s="168"/>
      <c r="DO21" s="168"/>
      <c r="DP21" s="168"/>
      <c r="DQ21" s="168"/>
      <c r="DR21" s="168"/>
      <c r="DS21" s="168"/>
      <c r="DT21" s="168"/>
      <c r="DU21" s="168" t="s">
        <v>810</v>
      </c>
      <c r="DV21" s="168"/>
      <c r="DW21" s="168"/>
      <c r="DX21" s="168"/>
      <c r="DY21" s="168"/>
      <c r="DZ21" s="168"/>
      <c r="EA21" s="168"/>
      <c r="EB21" s="168"/>
      <c r="EC21" s="168"/>
      <c r="ED21" s="168" t="s">
        <v>71</v>
      </c>
      <c r="EE21" s="228"/>
      <c r="EF21" s="168">
        <v>600</v>
      </c>
      <c r="EG21" s="168">
        <v>400</v>
      </c>
      <c r="EH21" s="168">
        <v>450</v>
      </c>
      <c r="EI21" s="168"/>
      <c r="EJ21" s="168" t="s">
        <v>824</v>
      </c>
      <c r="EK21" s="168"/>
      <c r="EL21" s="168"/>
      <c r="EM21" s="168"/>
      <c r="EN21" s="168"/>
      <c r="EO21" s="377" t="s">
        <v>1035</v>
      </c>
      <c r="EP21" s="377" t="s">
        <v>1036</v>
      </c>
      <c r="EQ21" s="377" t="s">
        <v>1037</v>
      </c>
      <c r="ER21" s="1344" t="s">
        <v>1018</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886</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810</v>
      </c>
      <c r="DV22" s="168"/>
      <c r="DW22" s="168"/>
      <c r="DX22" s="168"/>
      <c r="DY22" s="168"/>
      <c r="DZ22" s="168"/>
      <c r="EA22" s="168"/>
      <c r="EB22" s="168"/>
      <c r="EC22" s="168"/>
      <c r="ED22" s="168"/>
      <c r="EE22" s="168"/>
      <c r="EF22" s="168"/>
      <c r="EG22" s="168"/>
      <c r="EH22" s="168"/>
      <c r="EI22" s="168"/>
      <c r="EJ22" s="794" t="s">
        <v>893</v>
      </c>
      <c r="EK22" s="168"/>
      <c r="EL22" s="168"/>
      <c r="EM22" s="168"/>
      <c r="EN22" s="168"/>
      <c r="EO22" s="160" t="s">
        <v>1026</v>
      </c>
      <c r="EP22" s="160" t="s">
        <v>1027</v>
      </c>
      <c r="EQ22" s="160" t="s">
        <v>1028</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709</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700</v>
      </c>
      <c r="BZ25" s="170"/>
      <c r="CA25" s="170"/>
      <c r="CB25" s="170"/>
      <c r="CC25" s="170"/>
      <c r="CD25" s="170"/>
      <c r="CE25" s="170"/>
      <c r="CF25" s="170"/>
      <c r="CG25" s="170"/>
      <c r="CH25" s="170"/>
      <c r="CI25" s="170" t="s">
        <v>674</v>
      </c>
      <c r="CJ25" s="170" t="s">
        <v>387</v>
      </c>
      <c r="CK25" s="170" t="s">
        <v>623</v>
      </c>
      <c r="CL25" s="170" t="s">
        <v>624</v>
      </c>
      <c r="CM25" s="170" t="s">
        <v>625</v>
      </c>
      <c r="CN25" s="170">
        <v>1262</v>
      </c>
      <c r="CO25" s="170">
        <v>600</v>
      </c>
      <c r="CP25" s="170">
        <v>1262</v>
      </c>
      <c r="CQ25" s="170" t="s">
        <v>701</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710</v>
      </c>
      <c r="DG25" s="534" t="s">
        <v>594</v>
      </c>
      <c r="DH25" s="170" t="s">
        <v>570</v>
      </c>
      <c r="DI25" s="170" t="s">
        <v>571</v>
      </c>
      <c r="DJ25" s="170" t="s">
        <v>572</v>
      </c>
      <c r="DK25" s="170"/>
      <c r="DL25" s="170"/>
      <c r="DM25" s="170" t="s">
        <v>741</v>
      </c>
      <c r="DN25" s="170" t="s">
        <v>742</v>
      </c>
      <c r="DO25" s="170" t="s">
        <v>743</v>
      </c>
      <c r="DP25" s="170"/>
      <c r="DQ25" s="170" t="s">
        <v>744</v>
      </c>
      <c r="DR25" s="170" t="s">
        <v>745</v>
      </c>
      <c r="DS25" s="170"/>
      <c r="DT25" s="170" t="s">
        <v>746</v>
      </c>
      <c r="DU25" s="170" t="s">
        <v>747</v>
      </c>
      <c r="DV25" s="170" t="s">
        <v>748</v>
      </c>
      <c r="DW25" s="170" t="s">
        <v>749</v>
      </c>
      <c r="DX25" s="170" t="s">
        <v>750</v>
      </c>
      <c r="DY25" s="170" t="s">
        <v>751</v>
      </c>
      <c r="DZ25" s="170" t="s">
        <v>752</v>
      </c>
      <c r="EA25" s="170" t="s">
        <v>753</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969</v>
      </c>
      <c r="J28" s="26" t="s">
        <v>970</v>
      </c>
      <c r="K28" s="26" t="s">
        <v>971</v>
      </c>
      <c r="L28" s="26" t="s">
        <v>972</v>
      </c>
      <c r="M28" s="26" t="s">
        <v>973</v>
      </c>
      <c r="N28" s="26" t="s">
        <v>985</v>
      </c>
      <c r="O28" s="26" t="s">
        <v>974</v>
      </c>
      <c r="P28" s="26" t="s">
        <v>975</v>
      </c>
      <c r="Q28" s="26" t="s">
        <v>976</v>
      </c>
      <c r="R28" s="26" t="s">
        <v>977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968</v>
      </c>
      <c r="BX28" s="170" t="s">
        <v>979</v>
      </c>
      <c r="BY28" s="186" t="s">
        <v>990</v>
      </c>
      <c r="BZ28" s="186"/>
      <c r="CA28" s="170" t="s">
        <v>374</v>
      </c>
      <c r="CB28" s="170" t="s">
        <v>375</v>
      </c>
      <c r="CC28" s="170" t="s">
        <v>376</v>
      </c>
      <c r="CD28" s="170" t="s">
        <v>377</v>
      </c>
      <c r="CE28" s="170"/>
      <c r="CF28" s="170"/>
      <c r="CG28" s="170"/>
      <c r="CH28" s="170"/>
      <c r="CI28" s="170" t="s">
        <v>980</v>
      </c>
      <c r="CJ28" s="170" t="s">
        <v>981</v>
      </c>
      <c r="CK28" s="170" t="s">
        <v>626</v>
      </c>
      <c r="CL28" s="170" t="s">
        <v>627</v>
      </c>
      <c r="CM28" s="170" t="s">
        <v>628</v>
      </c>
      <c r="CN28" s="186" t="s">
        <v>418</v>
      </c>
      <c r="CO28" s="170">
        <v>850</v>
      </c>
      <c r="CP28" s="186" t="s">
        <v>418</v>
      </c>
      <c r="CQ28" s="170" t="s">
        <v>707</v>
      </c>
      <c r="CR28" s="170"/>
      <c r="CS28" s="170"/>
      <c r="CT28" s="169"/>
      <c r="CU28" s="169"/>
      <c r="CV28" s="169" t="s">
        <v>590</v>
      </c>
      <c r="CW28" s="169" t="s">
        <v>982</v>
      </c>
      <c r="CX28" s="169" t="s">
        <v>457</v>
      </c>
      <c r="CY28" s="169"/>
      <c r="CZ28" s="169"/>
      <c r="DA28" s="169"/>
      <c r="DB28" s="160" t="s">
        <v>986</v>
      </c>
      <c r="DC28" s="356"/>
      <c r="DD28" s="169"/>
      <c r="DE28" s="364" t="s">
        <v>983</v>
      </c>
      <c r="DF28" s="350" t="s">
        <v>989</v>
      </c>
      <c r="DG28" s="169"/>
      <c r="DH28" s="170" t="s">
        <v>573</v>
      </c>
      <c r="DI28" s="170" t="s">
        <v>574</v>
      </c>
      <c r="DJ28" s="170" t="s">
        <v>575</v>
      </c>
      <c r="DK28" s="170"/>
      <c r="DL28" s="170"/>
      <c r="DM28" s="658" t="s">
        <v>784</v>
      </c>
      <c r="DN28" s="170"/>
      <c r="DO28" s="170"/>
      <c r="DP28" s="170"/>
      <c r="DQ28" s="170"/>
      <c r="DR28" s="170"/>
      <c r="DS28" s="170"/>
      <c r="DT28" s="170"/>
      <c r="DU28" s="170" t="s">
        <v>783</v>
      </c>
      <c r="DV28" s="170"/>
      <c r="DW28" s="170"/>
      <c r="DX28" s="170"/>
      <c r="DY28" s="170"/>
      <c r="DZ28" s="170"/>
      <c r="EA28" s="170"/>
      <c r="EB28" s="170"/>
      <c r="EC28" s="170"/>
      <c r="ED28" s="170" t="s">
        <v>984</v>
      </c>
      <c r="EE28" s="170"/>
      <c r="EF28" s="170"/>
      <c r="EG28" s="170"/>
      <c r="EH28" s="170"/>
      <c r="EI28" s="170"/>
      <c r="EJ28" s="170"/>
      <c r="EK28" s="170"/>
      <c r="EL28" s="170"/>
      <c r="EM28" s="170"/>
      <c r="EN28" s="170"/>
      <c r="EO28" s="1324" t="s">
        <v>1014</v>
      </c>
      <c r="EP28" s="1324" t="s">
        <v>1015</v>
      </c>
      <c r="EQ28" s="1324" t="s">
        <v>1016</v>
      </c>
      <c r="ER28" s="1344" t="s">
        <v>1017</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705</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814</v>
      </c>
      <c r="BZ29" s="170"/>
      <c r="CA29" s="170"/>
      <c r="CB29" s="170"/>
      <c r="CC29" s="170"/>
      <c r="CD29" s="170"/>
      <c r="CE29" s="170"/>
      <c r="CF29" s="170"/>
      <c r="CG29" s="170"/>
      <c r="CH29" s="170"/>
      <c r="CI29" s="170"/>
      <c r="CJ29" s="170"/>
      <c r="CK29" s="170"/>
      <c r="CL29" s="170"/>
      <c r="CM29" s="170"/>
      <c r="CN29" s="170">
        <v>1292</v>
      </c>
      <c r="CO29" s="170">
        <v>850</v>
      </c>
      <c r="CP29" s="170">
        <v>1292</v>
      </c>
      <c r="CQ29" s="170" t="s">
        <v>815</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783</v>
      </c>
      <c r="DV29" s="170"/>
      <c r="DW29" s="170"/>
      <c r="DX29" s="170"/>
      <c r="DY29" s="170"/>
      <c r="DZ29" s="170"/>
      <c r="EA29" s="170"/>
      <c r="EB29" s="170"/>
      <c r="EC29" s="170"/>
      <c r="ED29" s="170"/>
      <c r="EE29" s="170"/>
      <c r="EF29" s="170"/>
      <c r="EG29" s="170"/>
      <c r="EH29" s="170"/>
      <c r="EI29" s="170"/>
      <c r="EJ29" s="170"/>
      <c r="EK29" s="170"/>
      <c r="EL29" s="170"/>
      <c r="EM29" s="170"/>
      <c r="EN29" s="170"/>
      <c r="EO29" s="1322" t="s">
        <v>1038</v>
      </c>
      <c r="EP29" s="1322" t="s">
        <v>1039</v>
      </c>
      <c r="EQ29" s="1322" t="s">
        <v>1040</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yXnZdN5ca6eHo4TDDeMIVrvc3hOKvhu+EPwfZ2loOR9kOuPV/ob+pf54hggRDExr9ifXUoFdOeG5wndIM3Q==" saltValue="WfbxBlw+YBGNpsqLt19TK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TELDE</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754</v>
      </c>
      <c r="F5" s="1885" t="s">
        <v>531</v>
      </c>
      <c r="G5" s="1847" t="s">
        <v>176</v>
      </c>
      <c r="H5" s="1847" t="s">
        <v>787</v>
      </c>
      <c r="I5" s="1847" t="s">
        <v>755</v>
      </c>
      <c r="J5" s="1847" t="s">
        <v>872</v>
      </c>
      <c r="K5" s="1847" t="s">
        <v>873</v>
      </c>
      <c r="L5" s="1847" t="s">
        <v>756</v>
      </c>
      <c r="M5" s="1847" t="s">
        <v>711</v>
      </c>
      <c r="N5" s="1847" t="s">
        <v>874</v>
      </c>
      <c r="O5" s="1877" t="s">
        <v>785</v>
      </c>
      <c r="P5" s="1847" t="s">
        <v>894</v>
      </c>
      <c r="Q5" s="1847" t="s">
        <v>888</v>
      </c>
      <c r="R5" s="1847" t="s">
        <v>232</v>
      </c>
      <c r="S5" s="1880" t="s">
        <v>884</v>
      </c>
      <c r="T5" s="1880" t="s">
        <v>887</v>
      </c>
      <c r="U5" s="1847" t="s">
        <v>788</v>
      </c>
      <c r="V5" s="1880" t="s">
        <v>757</v>
      </c>
      <c r="W5" s="1847" t="s">
        <v>1047</v>
      </c>
      <c r="X5" s="1847" t="s">
        <v>1048</v>
      </c>
      <c r="Y5" s="1859" t="s">
        <v>875</v>
      </c>
      <c r="Z5" s="1850" t="s">
        <v>813</v>
      </c>
      <c r="AA5" s="1853" t="s">
        <v>758</v>
      </c>
      <c r="AB5" s="1850" t="s">
        <v>759</v>
      </c>
      <c r="AC5" s="1850" t="s">
        <v>760</v>
      </c>
      <c r="AD5" s="1856" t="s">
        <v>876</v>
      </c>
      <c r="AE5" s="1856" t="s">
        <v>1075</v>
      </c>
      <c r="AF5" s="1847" t="s">
        <v>889</v>
      </c>
      <c r="AG5" s="1847" t="s">
        <v>712</v>
      </c>
      <c r="AH5" s="1847" t="s">
        <v>877</v>
      </c>
      <c r="AI5" s="1847" t="s">
        <v>243</v>
      </c>
      <c r="AJ5" s="1847" t="s">
        <v>944</v>
      </c>
      <c r="AK5" s="1847" t="s">
        <v>713</v>
      </c>
      <c r="AL5" s="1847" t="s">
        <v>714</v>
      </c>
      <c r="AM5" s="1847" t="s">
        <v>895</v>
      </c>
      <c r="AN5" s="1847" t="s">
        <v>715</v>
      </c>
      <c r="AO5" s="1847" t="s">
        <v>716</v>
      </c>
      <c r="AP5" s="1847" t="s">
        <v>717</v>
      </c>
      <c r="AQ5" s="1847" t="s">
        <v>718</v>
      </c>
      <c r="AR5" s="1847" t="s">
        <v>878</v>
      </c>
      <c r="AS5" s="1847" t="s">
        <v>246</v>
      </c>
      <c r="AT5" s="1862" t="s">
        <v>244</v>
      </c>
      <c r="AU5" s="1847" t="s">
        <v>890</v>
      </c>
      <c r="AV5" s="1865" t="s">
        <v>891</v>
      </c>
      <c r="AW5" s="1868" t="s">
        <v>720</v>
      </c>
      <c r="AX5" s="1847" t="s">
        <v>721</v>
      </c>
      <c r="AY5" s="1847" t="s">
        <v>811</v>
      </c>
      <c r="AZ5" s="1871" t="s">
        <v>812</v>
      </c>
      <c r="BA5" s="1847" t="s">
        <v>762</v>
      </c>
      <c r="BB5" s="1865" t="s">
        <v>763</v>
      </c>
      <c r="BC5" s="1868" t="s">
        <v>247</v>
      </c>
      <c r="BD5" s="1847" t="s">
        <v>764</v>
      </c>
      <c r="BE5" s="1847" t="s">
        <v>325</v>
      </c>
      <c r="BF5" s="1847" t="s">
        <v>326</v>
      </c>
      <c r="BG5" s="1847" t="s">
        <v>327</v>
      </c>
      <c r="BH5" s="1847" t="s">
        <v>765</v>
      </c>
      <c r="BI5" s="1847" t="s">
        <v>328</v>
      </c>
      <c r="BJ5" s="1847" t="s">
        <v>766</v>
      </c>
      <c r="BK5" s="1847" t="s">
        <v>781</v>
      </c>
      <c r="BL5" s="1847" t="s">
        <v>767</v>
      </c>
      <c r="BM5" s="1847" t="s">
        <v>768</v>
      </c>
      <c r="BN5" s="1847" t="s">
        <v>796</v>
      </c>
      <c r="BO5" s="1847" t="s">
        <v>789</v>
      </c>
      <c r="BP5" s="1847" t="s">
        <v>440</v>
      </c>
      <c r="BQ5" s="1847" t="s">
        <v>790</v>
      </c>
      <c r="BR5" s="1847" t="s">
        <v>769</v>
      </c>
      <c r="BS5" s="1847" t="s">
        <v>719</v>
      </c>
      <c r="BT5" s="1874" t="s">
        <v>1049</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6</v>
      </c>
      <c r="B9" s="749" t="s">
        <v>324</v>
      </c>
      <c r="C9" s="770" t="str">
        <f>Datos!A9</f>
        <v xml:space="preserve">Jdos. 1ª Instancia   </v>
      </c>
      <c r="D9" s="597"/>
      <c r="E9" s="553">
        <f>IF(ISNUMBER(Datos!AQ9),Datos!AQ9," - ")</f>
        <v>6</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646</v>
      </c>
      <c r="O9" s="553"/>
      <c r="P9" s="553"/>
      <c r="Q9" s="551">
        <f>IF(ISNUMBER(Datos!P9),Datos!P9,0)</f>
        <v>2477</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2077</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187</v>
      </c>
      <c r="AI9" s="553" t="str">
        <f>IF(ISNUMBER(Datos!CD9),Datos!CD9,"-")</f>
        <v>-</v>
      </c>
      <c r="AJ9" s="553" t="str">
        <f>IF(ISNUMBER(Datos!EN9),Datos!EN9," - ")</f>
        <v xml:space="preserve"> - </v>
      </c>
      <c r="AK9" s="553"/>
      <c r="AL9" s="554"/>
      <c r="AM9" s="771">
        <f>IF(ISNUMBER(Datos!R9),Datos!R9," - ")</f>
        <v>8300</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2296</v>
      </c>
      <c r="BD9" s="697">
        <f>IF(ISNUMBER(Datos!N9),Datos!N9," - ")</f>
        <v>4930</v>
      </c>
      <c r="BE9" s="697" t="str">
        <f>IF(ISNUMBER(Datos!BW9),Datos!BW9," - ")</f>
        <v xml:space="preserve"> - </v>
      </c>
      <c r="BF9" s="767" t="str">
        <f>IF(ISNUMBER(Datos!BX9),Datos!BX9," - ")</f>
        <v xml:space="preserve"> - </v>
      </c>
      <c r="BG9" s="768">
        <f>IF(ISNUMBER(IF(J_V="SI",Datos!K9/Datos!J9,(Datos!K9+Datos!AA9)/(Datos!J9+Datos!Z9))),IF(J_V="SI",Datos!K9/Datos!J9,(Datos!K9+Datos!AA9)/(Datos!J9+Datos!Z9))," - ")</f>
        <v>0.9829067321178121</v>
      </c>
      <c r="BH9" s="769">
        <f>IF(ISNUMBER(((IF(J_V="SI",Datos!L9/Datos!K9,(Datos!L9+Datos!AB9)/(Datos!K9+Datos!AA9)))*11)/factor_trimestre),((IF(J_V="SI",Datos!L9/Datos!K9,(Datos!L9+Datos!AB9)/(Datos!K9+Datos!AA9)))*11)/factor_trimestre," - ")</f>
        <v>5.4534023009007404</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5.0632911392405063E-2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140</v>
      </c>
      <c r="G10" s="547">
        <f>IF(ISNUMBER(Datos!I10),Datos!I10," - ")</f>
        <v>140</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26</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118</v>
      </c>
      <c r="AC10" s="551">
        <f>IF(ISNUMBER(Datos!Q10),Datos!Q10," - ")</f>
        <v>2</v>
      </c>
      <c r="AD10" s="553"/>
      <c r="AE10" s="567"/>
      <c r="AF10" s="555">
        <f>IF(ISNUMBER(Datos!L10),Datos!L10,"-")</f>
        <v>183</v>
      </c>
      <c r="AG10" s="553"/>
      <c r="AH10" s="553"/>
      <c r="AI10" s="553"/>
      <c r="AJ10" s="553"/>
      <c r="AK10" s="553"/>
      <c r="AL10" s="554"/>
      <c r="AM10" s="771">
        <f>IF(ISNUMBER(Datos!R10),Datos!R10," - ")</f>
        <v>87</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51</v>
      </c>
      <c r="BD10" s="697">
        <f>IF(ISNUMBER(Datos!N10),Datos!N10," - ")</f>
        <v>32</v>
      </c>
      <c r="BE10" s="697" t="str">
        <f>IF(ISNUMBER(Datos!BW10),Datos!BW10," - ")</f>
        <v xml:space="preserve"> - </v>
      </c>
      <c r="BF10" s="767" t="str">
        <f>IF(ISNUMBER(Datos!BX10),Datos!BX10," - ")</f>
        <v xml:space="preserve"> - </v>
      </c>
      <c r="BG10" s="768">
        <f>IF(ISNUMBER(Datos!K10/Datos!J10),Datos!K10/Datos!J10," - ")</f>
        <v>0.73291925465838514</v>
      </c>
      <c r="BH10" s="769">
        <f>IF(ISNUMBER(((Datos!L10/Datos!K10)*11)/factor_trimestre),((Datos!L10/Datos!K10)*11)/factor_trimestre," - ")</f>
        <v>17.059322033898304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0.38095238095238093</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8</v>
      </c>
      <c r="O12" s="553"/>
      <c r="P12" s="553"/>
      <c r="Q12" s="551">
        <f>IF(ISNUMBER(Datos!P12),Datos!P12,0)</f>
        <v>8</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67</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v>
      </c>
      <c r="AI12" s="553" t="str">
        <f>IF(ISNUMBER(Datos!CD12),Datos!CD12,"-")</f>
        <v>-</v>
      </c>
      <c r="AJ12" s="553" t="str">
        <f>IF(ISNUMBER(Datos!EN12),Datos!EN12," - ")</f>
        <v xml:space="preserve"> - </v>
      </c>
      <c r="AK12" s="553"/>
      <c r="AL12" s="554"/>
      <c r="AM12" s="771">
        <f>IF(ISNUMBER(Datos!R12),Datos!R12," - ")</f>
        <v>1103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11</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0.875</v>
      </c>
      <c r="BH12" s="769">
        <f>IF(ISNUMBER(((IF(J_V="SI",Datos!L12/Datos!K12,(Datos!L12+Datos!AB12)/(Datos!K12+Datos!AA12)))*11)/factor_trimestre),((IF(J_V="SI",Datos!L12/Datos!K12,(Datos!L12+Datos!AB12)/(Datos!K12+Datos!AA12)))*11)/factor_trimestre," - ")</f>
        <v>3.1428571428571428</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-5.0774526678141134E-2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6</v>
      </c>
      <c r="F14" s="1200">
        <f t="shared" si="1"/>
        <v>140</v>
      </c>
      <c r="G14" s="1200">
        <f t="shared" si="1"/>
        <v>140</v>
      </c>
      <c r="H14" s="1201">
        <f t="shared" si="1"/>
        <v>0</v>
      </c>
      <c r="I14" s="1200">
        <f t="shared" si="1"/>
        <v>0</v>
      </c>
      <c r="J14" s="1167">
        <f t="shared" si="1"/>
        <v>0</v>
      </c>
      <c r="K14" s="1167">
        <f t="shared" si="1"/>
        <v>0</v>
      </c>
      <c r="L14" s="1201">
        <f t="shared" si="1"/>
        <v>0</v>
      </c>
      <c r="M14" s="1201">
        <f t="shared" si="1"/>
        <v>0</v>
      </c>
      <c r="N14" s="1201">
        <f t="shared" si="1"/>
        <v>654</v>
      </c>
      <c r="O14" s="1202">
        <f t="shared" si="1"/>
        <v>0</v>
      </c>
      <c r="P14" s="1202">
        <f t="shared" si="1"/>
        <v>0</v>
      </c>
      <c r="Q14" s="1201">
        <f t="shared" si="1"/>
        <v>2511</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118</v>
      </c>
      <c r="AC14" s="1201">
        <f t="shared" si="2"/>
        <v>2146</v>
      </c>
      <c r="AD14" s="1201">
        <f t="shared" si="2"/>
        <v>0</v>
      </c>
      <c r="AE14" s="1201">
        <f t="shared" si="2"/>
        <v>0</v>
      </c>
      <c r="AF14" s="1201">
        <f t="shared" si="2"/>
        <v>183</v>
      </c>
      <c r="AG14" s="1201">
        <f t="shared" si="2"/>
        <v>0</v>
      </c>
      <c r="AH14" s="1201">
        <f t="shared" si="2"/>
        <v>188</v>
      </c>
      <c r="AI14" s="1201">
        <f t="shared" si="2"/>
        <v>0</v>
      </c>
      <c r="AJ14" s="1201">
        <f t="shared" si="2"/>
        <v>0</v>
      </c>
      <c r="AK14" s="1201">
        <f t="shared" si="2"/>
        <v>0</v>
      </c>
      <c r="AL14" s="1201">
        <f t="shared" si="2"/>
        <v>0</v>
      </c>
      <c r="AM14" s="1201">
        <f t="shared" si="2"/>
        <v>9490</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2347</v>
      </c>
      <c r="BD14" s="1201">
        <f t="shared" si="2"/>
        <v>4973</v>
      </c>
      <c r="BE14" s="1201">
        <f t="shared" si="2"/>
        <v>0</v>
      </c>
      <c r="BF14" s="1201">
        <f t="shared" si="2"/>
        <v>0</v>
      </c>
      <c r="BG14" s="1201">
        <f>IF(ISNUMBER(Datos!K14/Datos!J14),Datos!K14/Datos!J14," - ")</f>
        <v>0.97555616588849214</v>
      </c>
      <c r="BH14" s="1205">
        <f>IF(ISNUMBER(((Datos!L14/Datos!K14)*11)/factor_trimestre),((Datos!L14/Datos!K14)*11)/factor_trimestre," - ")</f>
        <v>5.7353603603603602</v>
      </c>
      <c r="BI14" s="1201">
        <f>IF(ISNUMBER('Resol  Asuntos'!D14/NºAsuntos!G14),'Resol  Asuntos'!D14/NºAsuntos!G14," - ")</f>
        <v>0.20700299876521433</v>
      </c>
      <c r="BJ14" s="1201" t="str">
        <f>IF(ISNUMBER(Datos!CI14/Datos!CJ14),Datos!CI14/Datos!CJ14," - ")</f>
        <v xml:space="preserve"> - </v>
      </c>
      <c r="BK14" s="1201">
        <f>SUBTOTAL(9,BK8:BK13)</f>
        <v>0</v>
      </c>
      <c r="BL14" s="1201">
        <f>IF(ISNUMBER((I14-AB14+L14)/(F14)),(I14-AB14+L14)/(F14)," - ")</f>
        <v>-0.84285714285714286</v>
      </c>
      <c r="BM14" s="1206">
        <f>SUBTOTAL(9,BM9:BM13)</f>
        <v>0.38081076566664485</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3</v>
      </c>
      <c r="B16" s="741" t="s">
        <v>515</v>
      </c>
      <c r="C16" s="754" t="str">
        <f>Datos!A16</f>
        <v xml:space="preserve">Jdos. Instrucción                               </v>
      </c>
      <c r="D16" s="755"/>
      <c r="E16" s="746">
        <f>IF(ISNUMBER(Datos!AQ16),Datos!AQ16," - ")</f>
        <v>3</v>
      </c>
      <c r="F16" s="744">
        <f>IF(ISNUMBER(AF16+AB16-Datos!J16-L16),AF16+AB16-Datos!J16-L16," - ")</f>
        <v>2279</v>
      </c>
      <c r="G16" s="747">
        <f>IF(ISNUMBER(IF(D_I="SI",Datos!I16,Datos!I16+Datos!AC16)),IF(D_I="SI",Datos!I16,Datos!I16+Datos!AC16)," - ")</f>
        <v>2215</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377</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10176</v>
      </c>
      <c r="AC16" s="240">
        <f>IF(ISNUMBER(Datos!Q16),Datos!Q16," - ")</f>
        <v>336</v>
      </c>
      <c r="AD16" s="374"/>
      <c r="AE16" s="566"/>
      <c r="AF16" s="745">
        <f>IF(ISNUMBER(IF(D_I="SI",Datos!L16,Datos!L16+Datos!AF16)),IF(D_I="SI",Datos!L16,Datos!L16+Datos!AF16)," - ")</f>
        <v>1999</v>
      </c>
      <c r="AG16" s="374"/>
      <c r="AH16" s="374"/>
      <c r="AI16" s="374"/>
      <c r="AJ16" s="553"/>
      <c r="AK16" s="374"/>
      <c r="AL16" s="549"/>
      <c r="AM16" s="375">
        <f>IF(ISNUMBER(Datos!R16),Datos!R16," - ")</f>
        <v>304</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1545</v>
      </c>
      <c r="BD16" s="243">
        <f>IF(ISNUMBER(Datos!N16),Datos!N16," - ")</f>
        <v>5928</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1.0282942603071947</v>
      </c>
      <c r="BH16" s="769">
        <f>IF(ISNUMBER(((IF(D_I="SI",Datos!L16/Datos!K16,(Datos!L16+Datos!AF16)/(Datos!K16+Datos!AE16)))*11)/factor_trimestre),((IF(D_I="SI",Datos!L16/Datos!K16,(Datos!L16+Datos!AF16)/(Datos!K16+Datos!AE16)))*11)/factor_trimestre," - ")</f>
        <v>2.1608687106918238</v>
      </c>
      <c r="BI16" s="266">
        <f>IF(ISNUMBER('Resol  Asuntos'!D16/NºAsuntos!G16),'Resol  Asuntos'!D16/NºAsuntos!G16," - ")</f>
        <v>0.15182783018867924</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515</v>
      </c>
      <c r="C17" s="754" t="str">
        <f>Datos!A17</f>
        <v xml:space="preserve">Jdos. 1ª Instª. e Instr.                        </v>
      </c>
      <c r="D17" s="755"/>
      <c r="E17" s="746">
        <f>IF(ISNUMBER(Datos!AQ17),Datos!AQ17," - ")</f>
        <v>0</v>
      </c>
      <c r="F17" s="744">
        <f>IF(ISNUMBER(AF17+AB17-Datos!J17-L17),AF17+AB17-Datos!J17-L17," - ")</f>
        <v>6</v>
      </c>
      <c r="G17" s="747">
        <f>IF(ISNUMBER(IF(D_I="SI",Datos!I17,Datos!I17+Datos!AC17)),IF(D_I="SI",Datos!I17,Datos!I17+Datos!AC17)," - ")</f>
        <v>6</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0</v>
      </c>
      <c r="AC17" s="240">
        <f>IF(ISNUMBER(Datos!Q17),Datos!Q17," - ")</f>
        <v>0</v>
      </c>
      <c r="AD17" s="374"/>
      <c r="AE17" s="566"/>
      <c r="AF17" s="745">
        <f>IF(ISNUMBER(IF(D_I="SI",Datos!L17,Datos!L17+Datos!AF17)),IF(D_I="SI",Datos!L17,Datos!L17+Datos!AF17)," - ")</f>
        <v>6</v>
      </c>
      <c r="AG17" s="374"/>
      <c r="AH17" s="374"/>
      <c r="AI17" s="374"/>
      <c r="AJ17" s="553"/>
      <c r="AK17" s="374"/>
      <c r="AL17" s="549"/>
      <c r="AM17" s="375">
        <f>IF(ISNUMBER(Datos!R17),Datos!R17," - ")</f>
        <v>4</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207</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88</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788</v>
      </c>
      <c r="AC18" s="551">
        <f>IF(ISNUMBER(Datos!Q18),Datos!Q18," - ")</f>
        <v>80</v>
      </c>
      <c r="AD18" s="553"/>
      <c r="AE18" s="566"/>
      <c r="AF18" s="555">
        <f>IF(ISNUMBER(Datos!L18),Datos!L18,"-")</f>
        <v>147</v>
      </c>
      <c r="AG18" s="553"/>
      <c r="AH18" s="553"/>
      <c r="AI18" s="553"/>
      <c r="AJ18" s="553"/>
      <c r="AK18" s="553"/>
      <c r="AL18" s="554"/>
      <c r="AM18" s="771">
        <f>IF(ISNUMBER(Datos!R18),Datos!R18," - ")</f>
        <v>57</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289</v>
      </c>
      <c r="BD18" s="697">
        <f>IF(ISNUMBER(Datos!N18),Datos!N18," - ")</f>
        <v>434</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1.0824175824175823</v>
      </c>
      <c r="BH18" s="769">
        <f>IF(ISNUMBER(((IF(D_I="SI",Datos!L18/Datos!K18,(Datos!L18+Datos!AF18)/(Datos!K18+Datos!AE18)))*11)/factor_trimestre),((IF(D_I="SI",Datos!L18/Datos!K18,(Datos!L18+Datos!AF18)/(Datos!K18+Datos!AE18)))*11)/factor_trimestre," - ")</f>
        <v>2.0520304568527918</v>
      </c>
      <c r="BI18" s="768">
        <f>IF(ISNUMBER('Resol  Asuntos'!D18/NºAsuntos!G18),'Resol  Asuntos'!D18/NºAsuntos!G18," - ")</f>
        <v>0.36675126903553301</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3</v>
      </c>
      <c r="F23" s="1200">
        <f>SUBTOTAL(9,F16:F22)</f>
        <v>2285</v>
      </c>
      <c r="G23" s="1200">
        <f>SUBTOTAL(9,G16:G22)</f>
        <v>2428</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465</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10964</v>
      </c>
      <c r="AC23" s="1201">
        <f t="shared" si="5"/>
        <v>416</v>
      </c>
      <c r="AD23" s="1201">
        <f t="shared" si="5"/>
        <v>0</v>
      </c>
      <c r="AE23" s="1201">
        <f t="shared" si="5"/>
        <v>0</v>
      </c>
      <c r="AF23" s="1201">
        <f t="shared" si="5"/>
        <v>2152</v>
      </c>
      <c r="AG23" s="1201">
        <f t="shared" si="5"/>
        <v>0</v>
      </c>
      <c r="AH23" s="1201">
        <f t="shared" si="5"/>
        <v>0</v>
      </c>
      <c r="AI23" s="1201">
        <f t="shared" si="5"/>
        <v>0</v>
      </c>
      <c r="AJ23" s="1201">
        <f t="shared" si="5"/>
        <v>0</v>
      </c>
      <c r="AK23" s="1201">
        <f t="shared" si="5"/>
        <v>0</v>
      </c>
      <c r="AL23" s="1201">
        <f t="shared" si="5"/>
        <v>0</v>
      </c>
      <c r="AM23" s="1201">
        <f t="shared" si="5"/>
        <v>365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1834</v>
      </c>
      <c r="BD23" s="1201">
        <f t="shared" si="5"/>
        <v>6362</v>
      </c>
      <c r="BE23" s="1201">
        <f t="shared" si="5"/>
        <v>0</v>
      </c>
      <c r="BF23" s="1201">
        <f t="shared" si="5"/>
        <v>0</v>
      </c>
      <c r="BG23" s="1201">
        <f>IF(ISNUMBER(Datos!K23/Datos!J23),Datos!K23/Datos!J23," - ")</f>
        <v>1.0320030120481927</v>
      </c>
      <c r="BH23" s="1205">
        <f>IF(ISNUMBER(((Datos!L23/Datos!K23)*11)/factor_trimestre),((Datos!L23/Datos!K23)*11)/factor_trimestre," - ")</f>
        <v>2.1590660342940531</v>
      </c>
      <c r="BI23" s="1201">
        <f>SUBTOTAL(9,BI16:BI22)</f>
        <v>0.5185790992242123</v>
      </c>
      <c r="BJ23" s="1201">
        <f>SUBTOTAL(9,BJ16:BJ22)</f>
        <v>0</v>
      </c>
      <c r="BK23" s="1201">
        <f>SUBTOTAL(9,BK16:BK22)</f>
        <v>0</v>
      </c>
      <c r="BL23" s="1201">
        <f>IF(ISNUMBER((I23-AB23+L23)/(F23)),(I23-AB23+L23)/(F23)," - ")</f>
        <v>-4.7982494529540478</v>
      </c>
      <c r="BM23" s="1208">
        <f>IF(ISNUMBER((Datos!P23-Datos!Q23)/(Datos!R23-Datos!P23+Datos!Q23)),(Datos!P23-Datos!Q23)/(Datos!R23-Datos!P23+Datos!Q23)," - ")</f>
        <v>0.1550632911392405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9</v>
      </c>
      <c r="F31" s="1120">
        <f t="shared" si="16"/>
        <v>2425</v>
      </c>
      <c r="G31" s="1120">
        <f t="shared" si="16"/>
        <v>2568</v>
      </c>
      <c r="H31" s="1122">
        <f t="shared" si="16"/>
        <v>0</v>
      </c>
      <c r="I31" s="1120">
        <f t="shared" si="16"/>
        <v>0</v>
      </c>
      <c r="J31" s="1122">
        <f t="shared" si="16"/>
        <v>0</v>
      </c>
      <c r="K31" s="1122">
        <f t="shared" si="16"/>
        <v>0</v>
      </c>
      <c r="L31" s="1183">
        <f t="shared" si="16"/>
        <v>0</v>
      </c>
      <c r="M31" s="1183">
        <f t="shared" si="16"/>
        <v>0</v>
      </c>
      <c r="N31" s="1183">
        <f t="shared" si="16"/>
        <v>654</v>
      </c>
      <c r="O31" s="1183">
        <f t="shared" si="16"/>
        <v>0</v>
      </c>
      <c r="P31" s="1183">
        <f t="shared" si="16"/>
        <v>0</v>
      </c>
      <c r="Q31" s="1122">
        <f t="shared" si="16"/>
        <v>2976</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11082</v>
      </c>
      <c r="AC31" s="1121">
        <f t="shared" si="17"/>
        <v>2562</v>
      </c>
      <c r="AD31" s="1121">
        <f t="shared" si="17"/>
        <v>0</v>
      </c>
      <c r="AE31" s="1121">
        <f t="shared" si="17"/>
        <v>0</v>
      </c>
      <c r="AF31" s="1128">
        <f t="shared" si="17"/>
        <v>2335</v>
      </c>
      <c r="AG31" s="1128">
        <f t="shared" si="17"/>
        <v>0</v>
      </c>
      <c r="AH31" s="1128">
        <f t="shared" si="17"/>
        <v>188</v>
      </c>
      <c r="AI31" s="1128">
        <f t="shared" si="17"/>
        <v>0</v>
      </c>
      <c r="AJ31" s="1121">
        <f t="shared" si="17"/>
        <v>0</v>
      </c>
      <c r="AK31" s="1128">
        <f t="shared" si="17"/>
        <v>0</v>
      </c>
      <c r="AL31" s="1128">
        <f t="shared" si="17"/>
        <v>0</v>
      </c>
      <c r="AM31" s="1128">
        <f t="shared" si="17"/>
        <v>9855</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4181</v>
      </c>
      <c r="BD31" s="1120">
        <f t="shared" si="17"/>
        <v>11335</v>
      </c>
      <c r="BE31" s="1120">
        <f t="shared" si="17"/>
        <v>0</v>
      </c>
      <c r="BF31" s="1130">
        <f t="shared" si="17"/>
        <v>0</v>
      </c>
      <c r="BG31" s="1227">
        <f>IF(ISNUMBER(Datos!K31/Datos!J31),Datos!K31/Datos!J31," - ")</f>
        <v>1.003387942637026</v>
      </c>
      <c r="BH31" s="1227">
        <f>IF(ISNUMBER(((Datos!L31/Datos!K31)*11)/factor_trimestre),((Datos!L31/Datos!K31)*11)/factor_trimestre," - ")</f>
        <v>3.9217391304347826</v>
      </c>
      <c r="BI31" s="1106">
        <f>IF(ISNUMBER(Datos!J31/Datos!I31),Datos!J31/Datos!I31," - ")</f>
        <v>2.8501322751322751</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-4.5698969072164948</v>
      </c>
      <c r="BM31" s="1191">
        <f>IF(ISNUMBER((Datos!P31-Datos!Q31+R31)/(Datos!R31-Datos!P31+Datos!Q31-R31)),(Datos!P31-Datos!Q31+R31)/(Datos!R31-Datos!P31+Datos!Q31-R31)," - ")</f>
        <v>4.38512869399428E-2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642</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2.0131148946216082</v>
      </c>
      <c r="F33" s="677">
        <f>IF(ISNUMBER(STDEV(F8:F30)),STDEV(F8:F30),"-")</f>
        <v>1087.3472963396482</v>
      </c>
      <c r="G33" s="678">
        <f>IF(ISNUMBER(STDEV(G8:G30)),STDEV(G8:G30),"-")</f>
        <v>1041.0284749776472</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4825.5821558499183</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1034.1085049452015</v>
      </c>
      <c r="BD33" s="677"/>
      <c r="BE33" s="677">
        <f>IF(ISNUMBER(STDEV(BE8:BE30)),STDEV(BE8:BE30),"-")</f>
        <v>0</v>
      </c>
      <c r="BF33" s="682">
        <f>IF(ISNUMBER(STDEV(BF8:BF30)),STDEV(BF8:BF30),"-")</f>
        <v>0</v>
      </c>
      <c r="BG33" s="1055">
        <f>IF(ISNUMBER(STDEV(BG8:BG30)),STDEV(BG8:BG30),"-")</f>
        <v>0.11858541198937454</v>
      </c>
      <c r="BH33" s="1061">
        <f>IF(ISNUMBER(STDEV(BH8:BH30)),STDEV(BH8:BH30),"-")</f>
        <v>5.37516093605017</v>
      </c>
      <c r="BI33" s="273">
        <f>IF(ISNUMBER(STDEV(BI8:BI30)),STDEV(BI8:BI30),"-")</f>
        <v>0.16567884178528888</v>
      </c>
      <c r="BJ33" s="244" t="str">
        <f>IF(ISNUMBER(BL33/BM33),BL33/BM33," - ")</f>
        <v xml:space="preserve"> - </v>
      </c>
      <c r="BK33" s="713"/>
      <c r="BL33" s="685">
        <f>IF(ISNUMBER(STDEV(BL8:BL30)),STDEV(BL8:BL30),"-")</f>
        <v>2.7968847247226454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cR47bLrcW42RzROn3NmCj7uKE9GDd3YZcCXLz1jxUrLxGKEDBOYRmfIF6fu6/fnBOj4/pQCueXZAI4h9wffS5Q==" saltValue="95HyxNlLqhfRhJ4WR8b+G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TELDE</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754</v>
      </c>
      <c r="F5" s="1885" t="s">
        <v>531</v>
      </c>
      <c r="G5" s="1847" t="s">
        <v>176</v>
      </c>
      <c r="H5" s="1847" t="s">
        <v>787</v>
      </c>
      <c r="I5" s="1847" t="s">
        <v>755</v>
      </c>
      <c r="J5" s="1847" t="s">
        <v>892</v>
      </c>
      <c r="K5" s="1847" t="s">
        <v>756</v>
      </c>
      <c r="L5" s="1847" t="s">
        <v>785</v>
      </c>
      <c r="M5" s="1847" t="s">
        <v>894</v>
      </c>
      <c r="N5" s="1847" t="s">
        <v>782</v>
      </c>
      <c r="O5" s="1847" t="s">
        <v>816</v>
      </c>
      <c r="P5" s="1880" t="s">
        <v>884</v>
      </c>
      <c r="Q5" s="1880" t="s">
        <v>887</v>
      </c>
      <c r="R5" s="1847" t="s">
        <v>791</v>
      </c>
      <c r="S5" s="1847" t="s">
        <v>757</v>
      </c>
      <c r="T5" s="1847" t="s">
        <v>1047</v>
      </c>
      <c r="U5" s="1847" t="s">
        <v>1048</v>
      </c>
      <c r="V5" s="1859" t="s">
        <v>875</v>
      </c>
      <c r="W5" s="1850" t="s">
        <v>771</v>
      </c>
      <c r="X5" s="1853" t="s">
        <v>772</v>
      </c>
      <c r="Y5" s="1856" t="s">
        <v>792</v>
      </c>
      <c r="Z5" s="1856" t="s">
        <v>817</v>
      </c>
      <c r="AA5" s="1847" t="s">
        <v>761</v>
      </c>
      <c r="AB5" s="1847" t="s">
        <v>773</v>
      </c>
      <c r="AC5" s="1847" t="s">
        <v>774</v>
      </c>
      <c r="AD5" s="1847" t="s">
        <v>714</v>
      </c>
      <c r="AE5" s="1847" t="s">
        <v>895</v>
      </c>
      <c r="AF5" s="1847" t="s">
        <v>246</v>
      </c>
      <c r="AG5" s="1847" t="s">
        <v>775</v>
      </c>
      <c r="AH5" s="1847" t="s">
        <v>762</v>
      </c>
      <c r="AI5" s="1847" t="s">
        <v>763</v>
      </c>
      <c r="AJ5" s="1847" t="s">
        <v>776</v>
      </c>
      <c r="AK5" s="1847" t="s">
        <v>777</v>
      </c>
      <c r="AL5" s="1847" t="s">
        <v>778</v>
      </c>
      <c r="AM5" s="1871" t="s">
        <v>779</v>
      </c>
      <c r="AN5" s="1847" t="s">
        <v>327</v>
      </c>
      <c r="AO5" s="1847" t="s">
        <v>765</v>
      </c>
      <c r="AP5" s="1847" t="s">
        <v>766</v>
      </c>
      <c r="AQ5" s="1847" t="s">
        <v>793</v>
      </c>
      <c r="AR5" s="1847" t="s">
        <v>794</v>
      </c>
      <c r="AS5" s="1847" t="s">
        <v>796</v>
      </c>
      <c r="AT5" s="1847" t="s">
        <v>789</v>
      </c>
      <c r="AU5" s="1847" t="s">
        <v>440</v>
      </c>
      <c r="AV5" s="1847" t="s">
        <v>780</v>
      </c>
      <c r="AW5" s="1847" t="s">
        <v>719</v>
      </c>
      <c r="BT5" s="1847" t="s">
        <v>1049</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795</v>
      </c>
      <c r="B9" s="749" t="s">
        <v>324</v>
      </c>
      <c r="C9" s="770" t="str">
        <f>Datos!A9</f>
        <v xml:space="preserve">Jdos. 1ª Instancia   </v>
      </c>
      <c r="D9" s="597"/>
      <c r="E9" s="752">
        <f>IF(ISNUMBER(Datos!AQ9),Datos!AQ9," - ")</f>
        <v>6</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2477</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2077</v>
      </c>
      <c r="AA9" s="555" t="str">
        <f>IF(ISNUMBER(IF(J_V="SI",Datos!L9,Datos!L9+Datos!AB9)-IF(Monitorios="SI",Datos!CD9,0)),
                          IF(J_V="SI",Datos!L9,Datos!L9+Datos!AB9)-IF(Monitorios="SI",Datos!CD9,0),
                          " - ")</f>
        <v xml:space="preserve"> - </v>
      </c>
      <c r="AB9" s="553"/>
      <c r="AC9" s="553"/>
      <c r="AD9" s="567"/>
      <c r="AE9" s="567">
        <f>IF(ISNUMBER(Datos!R9),Datos!R9," - ")</f>
        <v>8300</v>
      </c>
      <c r="AF9" s="697" t="str">
        <f>IF(ISNUMBER(Datos!BV9),Datos!BV9," - ")</f>
        <v xml:space="preserve"> - </v>
      </c>
      <c r="AG9" s="556" t="str">
        <f>IF(ISNUMBER(Datos!DV9),Datos!DV9," - ")</f>
        <v xml:space="preserve"> - </v>
      </c>
      <c r="AH9" s="557"/>
      <c r="AI9" s="558"/>
      <c r="AJ9" s="556">
        <f>IF(ISNUMBER(Datos!M9),Datos!M9," - ")</f>
        <v>2296</v>
      </c>
      <c r="AK9" s="697">
        <f>IF(ISNUMBER(Datos!N9),Datos!N9," - ")</f>
        <v>4930</v>
      </c>
      <c r="AL9" s="697" t="str">
        <f>IF(ISNUMBER(Datos!BW9),Datos!BW9," - ")</f>
        <v xml:space="preserve"> - </v>
      </c>
      <c r="AM9" s="767" t="str">
        <f>IF(ISNUMBER(Datos!BX9),Datos!BX9," - ")</f>
        <v xml:space="preserve"> - </v>
      </c>
      <c r="AN9" s="768"/>
      <c r="AO9" s="769">
        <f>IF(ISNUMBER(((NºAsuntos!I9/NºAsuntos!G9)*11)/factor_trimestre),((NºAsuntos!I9/NºAsuntos!G9)*11)/factor_trimestre," - ")</f>
        <v>5.4534023009007404</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5.0632911392405063E-2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140</v>
      </c>
      <c r="G10" s="556">
        <f>IF(ISNUMBER(Datos!I10),Datos!I10," - ")</f>
        <v>140</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26</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118</v>
      </c>
      <c r="Z10" s="810">
        <f>IF(ISNUMBER(Datos!Q10),Datos!Q10," - ")</f>
        <v>2</v>
      </c>
      <c r="AA10" s="555">
        <f>IF(ISNUMBER(Datos!L10),Datos!L10,"-")</f>
        <v>183</v>
      </c>
      <c r="AB10" s="553"/>
      <c r="AC10" s="553"/>
      <c r="AD10" s="567"/>
      <c r="AE10" s="567">
        <f>IF(ISNUMBER(Datos!R10),Datos!R10," - ")</f>
        <v>87</v>
      </c>
      <c r="AF10" s="697" t="str">
        <f>IF(ISNUMBER(Datos!BV10),Datos!BV10," - ")</f>
        <v xml:space="preserve"> - </v>
      </c>
      <c r="AG10" s="556" t="str">
        <f>IF(ISNUMBER(Datos!DV10),Datos!DV10," - ")</f>
        <v xml:space="preserve"> - </v>
      </c>
      <c r="AH10" s="557"/>
      <c r="AI10" s="558"/>
      <c r="AJ10" s="556">
        <f>IF(ISNUMBER(Datos!M10),Datos!M10," - ")</f>
        <v>51</v>
      </c>
      <c r="AK10" s="697">
        <f>IF(ISNUMBER(Datos!N10),Datos!N10," - ")</f>
        <v>32</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17.059322033898304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0.38095238095238093</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8</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67</v>
      </c>
      <c r="AA12" s="555" t="str">
        <f>IF(ISNUMBER(IF(J_V="SI",Datos!L12,Datos!L12+Datos!AB12)-IF(Monitorios="SI",Datos!CD12,0)),
                          IF(J_V="SI",Datos!L12,Datos!L12+Datos!AB12)-IF(Monitorios="SI",Datos!CD12,0),
                          " - ")</f>
        <v xml:space="preserve"> - </v>
      </c>
      <c r="AB12" s="553"/>
      <c r="AC12" s="553"/>
      <c r="AD12" s="567"/>
      <c r="AE12" s="567">
        <f>IF(ISNUMBER(Datos!R12),Datos!R12," - ")</f>
        <v>1103</v>
      </c>
      <c r="AF12" s="697" t="str">
        <f>IF(ISNUMBER(Datos!BV12),Datos!BV12," - ")</f>
        <v xml:space="preserve"> - </v>
      </c>
      <c r="AG12" s="556" t="str">
        <f>IF(ISNUMBER(Datos!DV12),Datos!DV12," - ")</f>
        <v xml:space="preserve"> - </v>
      </c>
      <c r="AH12" s="557"/>
      <c r="AI12" s="558"/>
      <c r="AJ12" s="556">
        <f>IF(ISNUMBER(Datos!M12),Datos!M12," - ")</f>
        <v>0</v>
      </c>
      <c r="AK12" s="697">
        <f>IF(ISNUMBER(Datos!N12),Datos!N12," - ")</f>
        <v>11</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3.1428571428571428</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-5.0774526678141134E-2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6</v>
      </c>
      <c r="F14" s="1200">
        <f>SUBTOTAL(9,F8:F13)</f>
        <v>140</v>
      </c>
      <c r="G14" s="1200">
        <f>SUBTOTAL(9,G8:G13)</f>
        <v>140</v>
      </c>
      <c r="H14" s="1214"/>
      <c r="I14" s="1200">
        <f t="shared" ref="I14:N14" si="1">SUBTOTAL(9,I8:I13)</f>
        <v>0</v>
      </c>
      <c r="J14" s="1167">
        <f t="shared" si="1"/>
        <v>0</v>
      </c>
      <c r="K14" s="1214">
        <f t="shared" si="1"/>
        <v>0</v>
      </c>
      <c r="L14" s="1214">
        <f t="shared" si="1"/>
        <v>0</v>
      </c>
      <c r="M14" s="1214">
        <f t="shared" si="1"/>
        <v>0</v>
      </c>
      <c r="N14" s="1214">
        <f t="shared" si="1"/>
        <v>2511</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118</v>
      </c>
      <c r="Z14" s="1213">
        <f t="shared" si="3"/>
        <v>2146</v>
      </c>
      <c r="AA14" s="1202">
        <f t="shared" si="3"/>
        <v>183</v>
      </c>
      <c r="AB14" s="1202">
        <f t="shared" si="3"/>
        <v>0</v>
      </c>
      <c r="AC14" s="1202">
        <f t="shared" si="3"/>
        <v>0</v>
      </c>
      <c r="AD14" s="1202">
        <f t="shared" si="3"/>
        <v>0</v>
      </c>
      <c r="AE14" s="1202">
        <f t="shared" si="3"/>
        <v>9490</v>
      </c>
      <c r="AF14" s="1214">
        <f t="shared" si="3"/>
        <v>0</v>
      </c>
      <c r="AG14" s="1214">
        <f t="shared" si="3"/>
        <v>0</v>
      </c>
      <c r="AH14" s="1214">
        <f t="shared" si="3"/>
        <v>0</v>
      </c>
      <c r="AI14" s="1214">
        <f t="shared" si="3"/>
        <v>0</v>
      </c>
      <c r="AJ14" s="1214">
        <f t="shared" si="3"/>
        <v>2347</v>
      </c>
      <c r="AK14" s="1214">
        <f t="shared" si="3"/>
        <v>4973</v>
      </c>
      <c r="AL14" s="1214">
        <f t="shared" si="3"/>
        <v>0</v>
      </c>
      <c r="AM14" s="1214">
        <f t="shared" si="3"/>
        <v>0</v>
      </c>
      <c r="AN14" s="1214">
        <f t="shared" si="3"/>
        <v>0</v>
      </c>
      <c r="AO14" s="1206">
        <f>IF(ISNUMBER(((NºAsuntos!I14/NºAsuntos!G14)*11)/factor_trimestre),((NºAsuntos!I14/NºAsuntos!G14)*11)/factor_trimestre," - ")</f>
        <v>5.5727641559357908</v>
      </c>
      <c r="AP14" s="1216" t="str">
        <f>IF(ISNUMBER(Datos!CI14/Datos!CJ14),Datos!CI14/Datos!CJ14," - ")</f>
        <v xml:space="preserve"> - </v>
      </c>
      <c r="AQ14" s="1240">
        <f>SUBTOTAL(9,AQ9:AQ13)</f>
        <v>0</v>
      </c>
      <c r="AR14" s="1240">
        <f>SUBTOTAL(9,AR9:AR13)</f>
        <v>0.38081076566664485</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3</v>
      </c>
      <c r="B16" s="750" t="s">
        <v>515</v>
      </c>
      <c r="C16" s="770" t="str">
        <f>Datos!A16</f>
        <v xml:space="preserve">Jdos. Instrucción                               </v>
      </c>
      <c r="D16" s="597"/>
      <c r="E16" s="752">
        <f>IF(ISNUMBER(Datos!AQ16),Datos!AQ16," - ")</f>
        <v>3</v>
      </c>
      <c r="F16" s="547">
        <f>IF(ISNUMBER(AA16+Y16-Datos!J16-K16),AA16+Y16-Datos!J16-K16," - ")</f>
        <v>2279</v>
      </c>
      <c r="G16" s="556">
        <f>IF(ISNUMBER(IF(D_I="SI",Datos!I16,Datos!I16+Datos!AC16)),IF(D_I="SI",Datos!I16,Datos!I16+Datos!AC16)," - ")</f>
        <v>2215</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377</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10176</v>
      </c>
      <c r="Z16" s="810">
        <f>IF(ISNUMBER(Datos!Q16),Datos!Q16," - ")</f>
        <v>336</v>
      </c>
      <c r="AA16" s="555">
        <f>IF(ISNUMBER(IF(D_I="SI",Datos!L16,Datos!L16+Datos!AF16)),IF(D_I="SI",Datos!L16,Datos!L16+Datos!AF16)," - ")</f>
        <v>1999</v>
      </c>
      <c r="AB16" s="553"/>
      <c r="AC16" s="553"/>
      <c r="AD16" s="567"/>
      <c r="AE16" s="567">
        <f>IF(ISNUMBER(Datos!R16),Datos!R16," - ")</f>
        <v>304</v>
      </c>
      <c r="AF16" s="697" t="str">
        <f>IF(ISNUMBER(Datos!BV16),Datos!BV16," - ")</f>
        <v xml:space="preserve"> - </v>
      </c>
      <c r="AG16" s="556"/>
      <c r="AH16" s="557"/>
      <c r="AI16" s="558"/>
      <c r="AJ16" s="556">
        <f>IF(ISNUMBER(Datos!M16),Datos!M16," - ")</f>
        <v>1545</v>
      </c>
      <c r="AK16" s="697">
        <f>IF(ISNUMBER(Datos!N16),Datos!N16," - ")</f>
        <v>5928</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2.1608687106918238</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515</v>
      </c>
      <c r="C17" s="770" t="str">
        <f>Datos!A17</f>
        <v xml:space="preserve">Jdos. 1ª Instª. e Instr.                        </v>
      </c>
      <c r="D17" s="597"/>
      <c r="E17" s="752">
        <f>IF(ISNUMBER(Datos!AQ17),Datos!AQ17," - ")</f>
        <v>0</v>
      </c>
      <c r="F17" s="547">
        <f>IF(ISNUMBER(AA17+Y17-Datos!J17-K16),AA17+Y17-Datos!J17-K16," - ")</f>
        <v>6</v>
      </c>
      <c r="G17" s="556">
        <f>IF(ISNUMBER(IF(D_I="SI",Datos!I17,Datos!I17+Datos!AC17)),IF(D_I="SI",Datos!I17,Datos!I17+Datos!AC17)," - ")</f>
        <v>6</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0</v>
      </c>
      <c r="Z17" s="810">
        <f>IF(ISNUMBER(Datos!Q17),Datos!Q17," - ")</f>
        <v>0</v>
      </c>
      <c r="AA17" s="555">
        <f>IF(ISNUMBER(IF(D_I="SI",Datos!L17,Datos!L17+Datos!AF17)),IF(D_I="SI",Datos!L17,Datos!L17+Datos!AF17)," - ")</f>
        <v>6</v>
      </c>
      <c r="AB17" s="553"/>
      <c r="AC17" s="553"/>
      <c r="AD17" s="567"/>
      <c r="AE17" s="567">
        <f>IF(ISNUMBER(Datos!R17),Datos!R17," - ")</f>
        <v>4</v>
      </c>
      <c r="AF17" s="697" t="str">
        <f>IF(ISNUMBER(Datos!BV17),Datos!BV17," - ")</f>
        <v xml:space="preserve"> - </v>
      </c>
      <c r="AG17" s="556"/>
      <c r="AH17" s="557"/>
      <c r="AI17" s="558"/>
      <c r="AJ17" s="556">
        <f>IF(ISNUMBER(Datos!M17),Datos!M17," - ")</f>
        <v>0</v>
      </c>
      <c r="AK17" s="697">
        <f>IF(ISNUMBER(Datos!N17),Datos!N17," - ")</f>
        <v>0</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207</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88</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788</v>
      </c>
      <c r="Z18" s="810">
        <f>IF(ISNUMBER(Datos!Q18),Datos!Q18," - ")</f>
        <v>80</v>
      </c>
      <c r="AA18" s="555">
        <f>IF(ISNUMBER(Datos!L18),Datos!L18,"-")</f>
        <v>147</v>
      </c>
      <c r="AB18" s="553"/>
      <c r="AC18" s="553"/>
      <c r="AD18" s="567"/>
      <c r="AE18" s="567">
        <f>IF(ISNUMBER(Datos!R18),Datos!R18," - ")</f>
        <v>57</v>
      </c>
      <c r="AF18" s="697" t="str">
        <f>IF(ISNUMBER(Datos!BV18),Datos!BV18," - ")</f>
        <v xml:space="preserve"> - </v>
      </c>
      <c r="AG18" s="556" t="str">
        <f>IF(ISNUMBER(Datos!DV18),Datos!DV18," - ")</f>
        <v xml:space="preserve"> - </v>
      </c>
      <c r="AH18" s="557"/>
      <c r="AI18" s="558"/>
      <c r="AJ18" s="556">
        <f>IF(ISNUMBER(Datos!M18),Datos!M18," - ")</f>
        <v>289</v>
      </c>
      <c r="AK18" s="697">
        <f>IF(ISNUMBER(Datos!N18),Datos!N18," - ")</f>
        <v>434</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2.0520304568527918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3</v>
      </c>
      <c r="F23" s="1200">
        <f>SUBTOTAL(9,F16:F22)</f>
        <v>2285</v>
      </c>
      <c r="G23" s="1200">
        <f>SUBTOTAL(9,G16:G22)</f>
        <v>2428</v>
      </c>
      <c r="H23" s="1245">
        <f>SUBTOTAL(9,H16:H22)</f>
        <v>0</v>
      </c>
      <c r="I23" s="1220">
        <f>SUBTOTAL(9,I16:I22)</f>
        <v>0</v>
      </c>
      <c r="J23" s="1167">
        <f>SUBTOTAL(9,J15:J22)</f>
        <v>0</v>
      </c>
      <c r="K23" s="1245">
        <f t="shared" ref="K23:S23" si="4">SUBTOTAL(9,K16:K22)</f>
        <v>0</v>
      </c>
      <c r="L23" s="1245">
        <f t="shared" si="4"/>
        <v>0</v>
      </c>
      <c r="M23" s="1245">
        <f t="shared" si="4"/>
        <v>0</v>
      </c>
      <c r="N23" s="1245">
        <f t="shared" si="4"/>
        <v>465</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10964</v>
      </c>
      <c r="Z23" s="1245">
        <f t="shared" si="5"/>
        <v>416</v>
      </c>
      <c r="AA23" s="1245">
        <f t="shared" si="5"/>
        <v>2152</v>
      </c>
      <c r="AB23" s="1245">
        <f t="shared" si="5"/>
        <v>0</v>
      </c>
      <c r="AC23" s="1245">
        <f t="shared" si="5"/>
        <v>0</v>
      </c>
      <c r="AD23" s="1245">
        <f t="shared" si="5"/>
        <v>0</v>
      </c>
      <c r="AE23" s="1245">
        <f t="shared" si="5"/>
        <v>365</v>
      </c>
      <c r="AF23" s="1245">
        <f t="shared" si="5"/>
        <v>0</v>
      </c>
      <c r="AG23" s="1245">
        <f t="shared" si="5"/>
        <v>0</v>
      </c>
      <c r="AH23" s="1245">
        <f t="shared" si="5"/>
        <v>0</v>
      </c>
      <c r="AI23" s="1245">
        <f t="shared" si="5"/>
        <v>0</v>
      </c>
      <c r="AJ23" s="1245">
        <f t="shared" si="5"/>
        <v>1834</v>
      </c>
      <c r="AK23" s="1245">
        <f t="shared" si="5"/>
        <v>6362</v>
      </c>
      <c r="AL23" s="1245">
        <f t="shared" si="5"/>
        <v>0</v>
      </c>
      <c r="AM23" s="1245">
        <f t="shared" si="5"/>
        <v>0</v>
      </c>
      <c r="AN23" s="1245">
        <f t="shared" si="5"/>
        <v>0</v>
      </c>
      <c r="AO23" s="1247">
        <f>IF(ISNUMBER(((NºAsuntos!I23/NºAsuntos!G23)*11)/factor_trimestre),((NºAsuntos!I23/NºAsuntos!G23)*11)/factor_trimestre," - ")</f>
        <v>2.1590660342940531</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9</v>
      </c>
      <c r="F31" s="1120">
        <f t="shared" si="10"/>
        <v>2425</v>
      </c>
      <c r="G31" s="1120">
        <f t="shared" si="10"/>
        <v>2568</v>
      </c>
      <c r="H31" s="1121">
        <f t="shared" si="10"/>
        <v>0</v>
      </c>
      <c r="I31" s="1120">
        <f t="shared" si="10"/>
        <v>0</v>
      </c>
      <c r="J31" s="1122">
        <f t="shared" si="10"/>
        <v>0</v>
      </c>
      <c r="K31" s="1120">
        <f t="shared" si="10"/>
        <v>0</v>
      </c>
      <c r="L31" s="1123">
        <f t="shared" si="10"/>
        <v>0</v>
      </c>
      <c r="M31" s="1120">
        <f t="shared" si="10"/>
        <v>0</v>
      </c>
      <c r="N31" s="1121">
        <f t="shared" si="10"/>
        <v>2976</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11082</v>
      </c>
      <c r="Z31" s="1127">
        <f t="shared" si="11"/>
        <v>2562</v>
      </c>
      <c r="AA31" s="1128">
        <f t="shared" si="11"/>
        <v>2335</v>
      </c>
      <c r="AB31" s="1128">
        <f t="shared" si="11"/>
        <v>0</v>
      </c>
      <c r="AC31" s="1128">
        <f t="shared" si="11"/>
        <v>0</v>
      </c>
      <c r="AD31" s="1129">
        <f t="shared" si="11"/>
        <v>0</v>
      </c>
      <c r="AE31" s="1129">
        <f t="shared" si="11"/>
        <v>9855</v>
      </c>
      <c r="AF31" s="1130">
        <f t="shared" si="11"/>
        <v>0</v>
      </c>
      <c r="AG31" s="1131">
        <f t="shared" si="11"/>
        <v>0</v>
      </c>
      <c r="AH31" s="1132">
        <f t="shared" si="11"/>
        <v>0</v>
      </c>
      <c r="AI31" s="1130">
        <f t="shared" si="11"/>
        <v>0</v>
      </c>
      <c r="AJ31" s="1120">
        <f t="shared" si="11"/>
        <v>4181</v>
      </c>
      <c r="AK31" s="1120">
        <f t="shared" si="11"/>
        <v>11335</v>
      </c>
      <c r="AL31" s="1120">
        <f t="shared" si="11"/>
        <v>0</v>
      </c>
      <c r="AM31" s="1133">
        <f t="shared" si="11"/>
        <v>0</v>
      </c>
      <c r="AN31" s="1123">
        <f>IF(ISNUMBER(Datos!K31/Datos!J31),Datos!K31/Datos!J31," - ")</f>
        <v>1.003387942637026</v>
      </c>
      <c r="AO31" s="1123">
        <f>IF(ISNUMBER(FIND("06",Criterios!A8,1)),(IF(ISNUMBER(((Datos!R31/Datos!Q31)*11)/factor_trimestre),((Datos!R31/Datos!Q31)*11)/factor_trimestre," - ")),(IF(ISNUMBER(((Datos!L31/Datos!K31)*11)/factor_trimestre),((Datos!L31/Datos!K31)*11)/factor_trimestre," - ")))</f>
        <v>3.9217391304347826</v>
      </c>
      <c r="AP31" s="1134" t="str">
        <f>IF(ISNUMBER(Datos!CI31/Datos!CJ31),Datos!CI31/Datos!CJ31," - ")</f>
        <v xml:space="preserve"> - </v>
      </c>
      <c r="AQ31" s="1134">
        <f>IF(OR(ISNUMBER(FIND("01",Criterios!A8,1)),ISNUMBER(FIND("02",Criterios!A8,1)),ISNUMBER(FIND("03",Criterios!A8,1)),ISNUMBER(FIND("04",Criterios!A8,1))),(J31-Y31+K31)/(F31-K31),(I31-Y31+K31)/(F31-K31))</f>
        <v>-4.5698969072164948</v>
      </c>
      <c r="AR31" s="1134">
        <f>IF(ISNUMBER((Datos!P31-Datos!Q31+O31)/(Datos!R31-Datos!P31+Datos!Q31-O31)),(Datos!P31-Datos!Q31+O31)/(Datos!R31-Datos!P31+Datos!Q31-O31)," - ")</f>
        <v>4.38512869399428E-2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642</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1087.3472963396482</v>
      </c>
      <c r="G33" s="678">
        <f>IF(ISNUMBER(STDEV(G8:G30)),STDEV(G8:G30),"-")</f>
        <v>1041.0284749776472</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1034.1085049452015</v>
      </c>
      <c r="AK33" s="276"/>
      <c r="AL33" s="276">
        <f>IF(ISNUMBER(STDEV(AL8:AL30)),STDEV(AL8:AL30),"-")</f>
        <v>0</v>
      </c>
      <c r="AM33" s="278">
        <f>IF(ISNUMBER(STDEV(AM8:AM30)),STDEV(AM8:AM30),"-")</f>
        <v>0</v>
      </c>
      <c r="AN33" s="664">
        <f>IF(ISNUMBER(STDEV(AN8:AN30)),STDEV(AN8:AN30),"-")</f>
        <v>0</v>
      </c>
      <c r="AO33" s="665">
        <f>IF(ISNUMBER(STDEV(AO8:AO30)),STDEV(AO8:AO30),"-")</f>
        <v>5.3737946157069487</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131vG85FsT1vIDB7Jsyze3vvuHnTp+J/wV0Um0RqnVSmkLHW5cgDaom6KWM44Ym06DC2CMtbF42n8d9RJxa1Uw==" saltValue="k5BE5QJ/NrlbpxD6ZHhOt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832</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833</v>
      </c>
      <c r="B4" s="1898" t="s">
        <v>943</v>
      </c>
      <c r="C4" s="1898" t="s">
        <v>834</v>
      </c>
      <c r="D4" s="1898" t="s">
        <v>901</v>
      </c>
      <c r="E4" s="1900" t="s">
        <v>902</v>
      </c>
      <c r="F4" s="1898" t="s">
        <v>835</v>
      </c>
      <c r="G4" s="1900" t="s">
        <v>601</v>
      </c>
      <c r="H4" s="1893" t="s">
        <v>836</v>
      </c>
      <c r="I4" s="1893" t="s">
        <v>837</v>
      </c>
      <c r="J4" s="1893" t="s">
        <v>838</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LRXNh5ETfD+uAyKWWqnUj2jC7bPjfqQ7T1PMnU9iEQWuoqHK5CVkwcwrzXvYA+PFIJv9AZO105oLTYI4RXR5nQ==" saltValue="nw/gQcB1/MwZMzd9XSUr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639</v>
      </c>
      <c r="DL5" s="1746" t="s">
        <v>643</v>
      </c>
      <c r="DM5" s="1745" t="s">
        <v>711</v>
      </c>
      <c r="DN5" s="1745" t="s">
        <v>712</v>
      </c>
      <c r="DO5" s="1745" t="s">
        <v>713</v>
      </c>
      <c r="DP5" s="1745" t="s">
        <v>714</v>
      </c>
      <c r="DQ5" s="1745" t="s">
        <v>715</v>
      </c>
      <c r="DR5" s="1745" t="s">
        <v>716</v>
      </c>
      <c r="DS5" s="1745" t="s">
        <v>717</v>
      </c>
      <c r="DT5" s="1745" t="s">
        <v>718</v>
      </c>
      <c r="DU5" s="1764" t="s">
        <v>719</v>
      </c>
      <c r="DV5" s="1752" t="s">
        <v>720</v>
      </c>
      <c r="DW5" s="1749" t="s">
        <v>721</v>
      </c>
      <c r="DX5" s="1745" t="s">
        <v>722</v>
      </c>
      <c r="DY5" s="1733" t="s">
        <v>723</v>
      </c>
      <c r="DZ5" s="1749" t="s">
        <v>724</v>
      </c>
      <c r="EA5" s="1733" t="s">
        <v>725</v>
      </c>
      <c r="EB5" s="1742" t="s">
        <v>785</v>
      </c>
      <c r="EC5" s="1742" t="s">
        <v>786</v>
      </c>
      <c r="ED5" s="1742" t="s">
        <v>787</v>
      </c>
      <c r="EE5" s="1742" t="s">
        <v>827</v>
      </c>
      <c r="EF5" s="1742" t="s">
        <v>831</v>
      </c>
      <c r="EG5" s="1733" t="s">
        <v>829</v>
      </c>
      <c r="EH5" s="1733" t="s">
        <v>830</v>
      </c>
      <c r="EI5" s="1733" t="s">
        <v>789</v>
      </c>
      <c r="EJ5" s="1733" t="s">
        <v>790</v>
      </c>
      <c r="EK5" s="1730" t="s">
        <v>878</v>
      </c>
      <c r="EL5" s="1736" t="s">
        <v>896</v>
      </c>
      <c r="EM5" s="1737"/>
      <c r="EN5" s="1738"/>
      <c r="EO5" s="1727" t="s">
        <v>1002</v>
      </c>
      <c r="EP5" s="1727" t="s">
        <v>1004</v>
      </c>
      <c r="EQ5" s="1727" t="s">
        <v>1005</v>
      </c>
      <c r="ER5" s="1727" t="s">
        <v>1019</v>
      </c>
      <c r="ES5" s="1727" t="s">
        <v>1021</v>
      </c>
      <c r="ET5" s="1724" t="s">
        <v>1138</v>
      </c>
      <c r="EU5" s="1724" t="s">
        <v>1139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1001</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897</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640</v>
      </c>
      <c r="DL8" s="536" t="s">
        <v>641</v>
      </c>
      <c r="DM8" s="536" t="s">
        <v>726</v>
      </c>
      <c r="DN8" s="536" t="s">
        <v>727</v>
      </c>
      <c r="DO8" s="536" t="s">
        <v>728</v>
      </c>
      <c r="DP8" s="536" t="s">
        <v>729</v>
      </c>
      <c r="DQ8" s="536" t="s">
        <v>730</v>
      </c>
      <c r="DR8" s="536" t="s">
        <v>731</v>
      </c>
      <c r="DS8" s="536" t="s">
        <v>732</v>
      </c>
      <c r="DT8" s="536" t="s">
        <v>733</v>
      </c>
      <c r="DU8" s="542" t="s">
        <v>734</v>
      </c>
      <c r="DV8" s="536" t="s">
        <v>735</v>
      </c>
      <c r="DW8" s="536" t="s">
        <v>736</v>
      </c>
      <c r="DX8" s="536" t="s">
        <v>737</v>
      </c>
      <c r="DY8" s="536" t="s">
        <v>738</v>
      </c>
      <c r="DZ8" s="536" t="s">
        <v>739</v>
      </c>
      <c r="EA8" s="536" t="s">
        <v>740</v>
      </c>
      <c r="EB8" s="536" t="s">
        <v>797</v>
      </c>
      <c r="EC8" s="536" t="s">
        <v>798</v>
      </c>
      <c r="ED8" s="536" t="s">
        <v>799</v>
      </c>
      <c r="EE8" s="536" t="s">
        <v>800</v>
      </c>
      <c r="EF8" s="536" t="s">
        <v>801</v>
      </c>
      <c r="EG8" s="536" t="s">
        <v>802</v>
      </c>
      <c r="EH8" s="536" t="s">
        <v>803</v>
      </c>
      <c r="EI8" s="536" t="s">
        <v>804</v>
      </c>
      <c r="EJ8" s="536" t="s">
        <v>805</v>
      </c>
      <c r="EK8" s="536" t="s">
        <v>879</v>
      </c>
      <c r="EL8" s="855" t="s">
        <v>898</v>
      </c>
      <c r="EM8" s="855" t="s">
        <v>899</v>
      </c>
      <c r="EN8" s="855" t="s">
        <v>900</v>
      </c>
      <c r="EO8" s="53" t="s">
        <v>1003</v>
      </c>
      <c r="EP8" s="53" t="s">
        <v>1009</v>
      </c>
      <c r="EQ8" s="53" t="s">
        <v>1010</v>
      </c>
      <c r="ER8" s="53" t="s">
        <v>1020</v>
      </c>
      <c r="ES8" s="536" t="s">
        <v>1022</v>
      </c>
      <c r="ET8" s="1522" t="s">
        <v>1140</v>
      </c>
      <c r="EU8" s="1522" t="s">
        <v>1141</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uKX/ULyWFjmV9JaC3npOAaJ6GXMekMQQiwzn4JGERnS190syVz3MJoEY5F+4ZU4MPWRWLRZW/p7TLFyUB2PA==" saltValue="dE6EtMB3EC3QwpsBx3EgH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TELDE</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754</v>
      </c>
      <c r="F5" s="1885" t="s">
        <v>531</v>
      </c>
      <c r="G5" s="1847" t="s">
        <v>176</v>
      </c>
      <c r="H5" s="1847" t="s">
        <v>787</v>
      </c>
      <c r="I5" s="1847" t="s">
        <v>755</v>
      </c>
      <c r="J5" s="1847" t="s">
        <v>872</v>
      </c>
      <c r="K5" s="1847" t="s">
        <v>756</v>
      </c>
      <c r="L5" s="1847" t="s">
        <v>711</v>
      </c>
      <c r="M5" s="1877" t="s">
        <v>785</v>
      </c>
      <c r="N5" s="1847" t="s">
        <v>929</v>
      </c>
      <c r="O5" s="1847" t="s">
        <v>888</v>
      </c>
      <c r="P5" s="1847" t="s">
        <v>232</v>
      </c>
      <c r="Q5" s="1880" t="s">
        <v>884</v>
      </c>
      <c r="R5" s="1880" t="s">
        <v>930</v>
      </c>
      <c r="S5" s="1847" t="s">
        <v>788</v>
      </c>
      <c r="T5" s="1880" t="s">
        <v>757</v>
      </c>
      <c r="U5" s="1880" t="s">
        <v>1047</v>
      </c>
      <c r="V5" s="1880" t="s">
        <v>1048</v>
      </c>
      <c r="W5" s="1850" t="s">
        <v>813</v>
      </c>
      <c r="X5" s="1853" t="s">
        <v>758</v>
      </c>
      <c r="Y5" s="1850" t="s">
        <v>759</v>
      </c>
      <c r="Z5" s="1850" t="s">
        <v>760</v>
      </c>
      <c r="AA5" s="1847" t="s">
        <v>889</v>
      </c>
      <c r="AB5" s="1847" t="s">
        <v>895</v>
      </c>
      <c r="AC5" s="1847" t="s">
        <v>246</v>
      </c>
      <c r="AD5" s="1862" t="s">
        <v>244</v>
      </c>
      <c r="AE5" s="1847" t="s">
        <v>890</v>
      </c>
      <c r="AF5" s="1865" t="s">
        <v>891</v>
      </c>
      <c r="AG5" s="1868" t="s">
        <v>720</v>
      </c>
      <c r="AH5" s="1847" t="s">
        <v>721</v>
      </c>
      <c r="AI5" s="1847" t="s">
        <v>811</v>
      </c>
      <c r="AJ5" s="1871" t="s">
        <v>812</v>
      </c>
      <c r="AK5" s="1868" t="s">
        <v>247</v>
      </c>
      <c r="AL5" s="1847" t="s">
        <v>764</v>
      </c>
      <c r="AM5" s="1847" t="s">
        <v>325</v>
      </c>
      <c r="AN5" s="1847" t="s">
        <v>326</v>
      </c>
      <c r="AO5" s="1847" t="s">
        <v>327</v>
      </c>
      <c r="AP5" s="1847" t="s">
        <v>765</v>
      </c>
      <c r="AQ5" s="1847" t="s">
        <v>328</v>
      </c>
      <c r="AR5" s="1847" t="s">
        <v>766</v>
      </c>
      <c r="AS5" s="1847" t="s">
        <v>767</v>
      </c>
      <c r="AT5" s="1847" t="s">
        <v>768</v>
      </c>
      <c r="AU5" s="1847" t="s">
        <v>796</v>
      </c>
      <c r="AV5" s="1847" t="s">
        <v>789</v>
      </c>
      <c r="AW5" s="1847" t="s">
        <v>440</v>
      </c>
      <c r="AX5" s="1847" t="s">
        <v>790</v>
      </c>
      <c r="AY5" s="1847" t="s">
        <v>769</v>
      </c>
      <c r="AZ5" s="1847" t="s">
        <v>719</v>
      </c>
      <c r="BT5" s="1847" t="s">
        <v>1049</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0.20700299876521433</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0.14637322415283358</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FgiZmNVXS3Ee8jjf/pxnkUx5g7JNy6tfSO86xeg4MknoZgh731T+pezBU5X7nF+QBPtyCX440QS0/xAO4Q7DPQ==" saltValue="C3JIjNLtf0AoR6NccTy4Y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1134</v>
      </c>
    </row>
    <row r="3" spans="2:5" ht="16.5" customHeight="1" thickBot="1">
      <c r="B3" s="1521" t="s">
        <v>1135</v>
      </c>
      <c r="C3" s="1521" t="s">
        <v>1136</v>
      </c>
      <c r="D3" s="1521" t="s">
        <v>1137</v>
      </c>
      <c r="E3" s="1530" t="s">
        <v>1142</v>
      </c>
    </row>
  </sheetData>
  <sheetProtection algorithmName="SHA-512" hashValue="y04HCan2yvSonO7R4sMD/A08mDJ9Bv4WuymOlvBN1JWPuccqhK8HBatesfMp/dTP/ZAKOV26FD8plw6AISjdRw==" saltValue="IY5xM2HJGN35kButniOD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TELDE</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1008</v>
      </c>
      <c r="L5" s="1546" t="s">
        <v>1071</v>
      </c>
      <c r="M5" s="1546" t="s">
        <v>1006</v>
      </c>
      <c r="N5" s="1549" t="s">
        <v>1007</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1001</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6</v>
      </c>
      <c r="C9" s="452">
        <f>IF(ISNUMBER(IF(J_V="SI",Datos!I9,Datos!I9+Datos!Y9)),IF(J_V="SI",Datos!I9,Datos!I9+Datos!Y9)," - ")</f>
        <v>5215</v>
      </c>
      <c r="D9" s="453">
        <f>IF(ISNUMBER(C9/Datos!BH9),C9/Datos!BH9," - ")</f>
        <v>869.16666666666663</v>
      </c>
      <c r="E9" s="452">
        <f>IF(ISNUMBER(IF(J_V="SI",Datos!J9,Datos!J9+Datos!Z9)),IF(J_V="SI",Datos!J9,Datos!J9+Datos!Z9)," - ")</f>
        <v>11408</v>
      </c>
      <c r="F9" s="453">
        <f>IF(ISNUMBER(E9/B9),E9/B9," - ")</f>
        <v>1901.3333333333333</v>
      </c>
      <c r="G9" s="452">
        <f>IF(ISNUMBER(IF(J_V="SI",Datos!K9,Datos!K9+Datos!AA9)),IF(J_V="SI",Datos!K9,Datos!K9+Datos!AA9)," - ")</f>
        <v>11213</v>
      </c>
      <c r="H9" s="453">
        <f>IF(ISNUMBER(G9/B9),G9/B9," - ")</f>
        <v>1868.8333333333333</v>
      </c>
      <c r="I9" s="452">
        <f>IF(ISNUMBER(IF(J_V="SI",Datos!L9,Datos!L9+Datos!AB9)),IF(J_V="SI",Datos!L9,Datos!L9+Datos!AB9)," - ")</f>
        <v>5559</v>
      </c>
      <c r="J9" s="453">
        <f>IF(ISNUMBER(I9/B9),I9/B9," - ")</f>
        <v>926.5</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140</v>
      </c>
      <c r="D10" s="453">
        <f>IF(ISNUMBER(C10/Datos!BH10),C10/Datos!BH10," - ")</f>
        <v>140</v>
      </c>
      <c r="E10" s="452">
        <f>IF(ISNUMBER(Datos!J10),Datos!J10," - ")</f>
        <v>161</v>
      </c>
      <c r="F10" s="453">
        <f>IF(ISNUMBER(E10/B10),E10/B10," - ")</f>
        <v>161</v>
      </c>
      <c r="G10" s="452">
        <f>IF(ISNUMBER(Datos!K10),Datos!K10," - ")</f>
        <v>118</v>
      </c>
      <c r="H10" s="453">
        <f>IF(ISNUMBER(G10/B10),G10/B10," - ")</f>
        <v>118</v>
      </c>
      <c r="I10" s="452">
        <f>IF(ISNUMBER(Datos!L10),Datos!L10," - ")</f>
        <v>183</v>
      </c>
      <c r="J10" s="453">
        <f>IF(ISNUMBER(I10/B10),I10/B10," - ")</f>
        <v>183</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1</v>
      </c>
      <c r="D12" s="453" t="str">
        <f>IF(ISNUMBER(C12/Datos!BH12),C12/Datos!BH12," - ")</f>
        <v xml:space="preserve"> - </v>
      </c>
      <c r="E12" s="452">
        <f>IF(ISNUMBER(IF(J_V="SI",Datos!J12,Datos!J12+Datos!Z12)),IF(J_V="SI",Datos!J12,Datos!J12+Datos!Z12)," - ")</f>
        <v>8</v>
      </c>
      <c r="F12" s="453" t="str">
        <f>IF(ISNUMBER(E12/B12),E12/B12," - ")</f>
        <v xml:space="preserve"> - </v>
      </c>
      <c r="G12" s="452">
        <f>IF(ISNUMBER(IF(J_V="SI",Datos!K12,Datos!K12+Datos!AA12)),IF(J_V="SI",Datos!K12,Datos!K12+Datos!AA12)," - ")</f>
        <v>7</v>
      </c>
      <c r="H12" s="453" t="str">
        <f>IF(ISNUMBER(G12/B12),G12/B12," - ")</f>
        <v xml:space="preserve"> - </v>
      </c>
      <c r="I12" s="452">
        <f>IF(ISNUMBER(IF(J_V="SI",Datos!L12,Datos!L12+Datos!AB12)),IF(J_V="SI",Datos!L12,Datos!L12+Datos!AB12)," - ")</f>
        <v>2</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6</v>
      </c>
      <c r="C14" s="1149">
        <f>SUBTOTAL(9,C8:C13)</f>
        <v>5356</v>
      </c>
      <c r="D14" s="1150" t="str">
        <f>IF(ISNUMBER(C14/Datos!BI14),C14/Datos!BI14," - ")</f>
        <v xml:space="preserve"> - </v>
      </c>
      <c r="E14" s="1149">
        <f>SUBTOTAL(9,E8:E13)</f>
        <v>11577</v>
      </c>
      <c r="F14" s="1150">
        <f>IF(ISNUMBER(E14/B14),E14/B14," - ")</f>
        <v>1929.5</v>
      </c>
      <c r="G14" s="1149">
        <f>SUBTOTAL(9,G8:G13)</f>
        <v>11338</v>
      </c>
      <c r="H14" s="1150">
        <f>IF(ISNUMBER(G14/B14),G14/B14," - ")</f>
        <v>1889.6666666666667</v>
      </c>
      <c r="I14" s="1149">
        <f>SUBTOTAL(9,I8:I13)</f>
        <v>5744</v>
      </c>
      <c r="J14" s="1150">
        <f>IF(ISNUMBER(I14/B14),I14/B14," - ")</f>
        <v>957.33333333333337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3</v>
      </c>
      <c r="C16" s="452">
        <f>IF(ISNUMBER(IF(D_I="SI",Datos!I16,Datos!I16+Datos!AC16)),IF(D_I="SI",Datos!I16,Datos!I16+Datos!AC16)," - ")</f>
        <v>2215</v>
      </c>
      <c r="D16" s="453">
        <f>IF(ISNUMBER(C16/Datos!BH16),C16/Datos!BH16," - ")</f>
        <v>738.33333333333337</v>
      </c>
      <c r="E16" s="452">
        <f>IF(ISNUMBER(IF(D_I="SI",Datos!J16,Datos!J16+Datos!AD16)),IF(D_I="SI",Datos!J16,Datos!J16+Datos!AD16)," - ")</f>
        <v>9896</v>
      </c>
      <c r="F16" s="453">
        <f>IF(ISNUMBER(E16/B16),E16/B16," - ")</f>
        <v>3298.6666666666665</v>
      </c>
      <c r="G16" s="452">
        <f>IF(ISNUMBER(IF(D_I="SI",Datos!K16,Datos!K16+Datos!AE16)),IF(D_I="SI",Datos!K16,Datos!K16+Datos!AE16)," - ")</f>
        <v>10176</v>
      </c>
      <c r="H16" s="453">
        <f>IF(ISNUMBER(G16/B16),G16/B16," - ")</f>
        <v>3392</v>
      </c>
      <c r="I16" s="452">
        <f>IF(ISNUMBER(IF(D_I="SI",Datos!L16,Datos!L16+Datos!AF16)),IF(D_I="SI",Datos!L16,Datos!L16+Datos!AF16)," - ")</f>
        <v>1999</v>
      </c>
      <c r="J16" s="453">
        <f>IF(ISNUMBER(I16/B16),I16/B16," - ")</f>
        <v>666.33333333333337</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f>IF(ISNUMBER(IF(D_I="SI",Datos!I17,Datos!I17+Datos!AC17)),IF(D_I="SI",Datos!I17,Datos!I17+Datos!AC17)," - ")</f>
        <v>6</v>
      </c>
      <c r="D17" s="453" t="str">
        <f>IF(ISNUMBER(C17/Datos!BH17),C17/Datos!BH17," - ")</f>
        <v xml:space="preserve"> - </v>
      </c>
      <c r="E17" s="452">
        <f>IF(ISNUMBER(IF(D_I="SI",Datos!J17,Datos!J17+Datos!AD17)),IF(D_I="SI",Datos!J17,Datos!J17+Datos!AD17)," - ")</f>
        <v>0</v>
      </c>
      <c r="F17" s="453" t="str">
        <f>IF(ISNUMBER(E17/B17),E17/B17," - ")</f>
        <v xml:space="preserve"> - </v>
      </c>
      <c r="G17" s="452">
        <f>IF(ISNUMBER(IF(D_I="SI",Datos!K17,Datos!K17+Datos!AE17)),IF(D_I="SI",Datos!K17,Datos!K17+Datos!AE17)," - ")</f>
        <v>0</v>
      </c>
      <c r="H17" s="453" t="str">
        <f>IF(ISNUMBER(G17/B17),G17/B17," - ")</f>
        <v xml:space="preserve"> - </v>
      </c>
      <c r="I17" s="452">
        <f>IF(ISNUMBER(IF(D_I="SI",Datos!L17,Datos!L17+Datos!AF17)),IF(D_I="SI",Datos!L17,Datos!L17+Datos!AF17)," - ")</f>
        <v>6</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207</v>
      </c>
      <c r="D18" s="453">
        <f>IF(ISNUMBER(C18/Datos!BH18),C18/Datos!BH18," - ")</f>
        <v>207</v>
      </c>
      <c r="E18" s="452">
        <f>IF(ISNUMBER(IF(D_I="SI",Datos!J18,Datos!J18+Datos!AD18)),IF(D_I="SI",Datos!J18,Datos!J18+Datos!AD18)," - ")</f>
        <v>728</v>
      </c>
      <c r="F18" s="453">
        <f>IF(ISNUMBER(E18/B18),E18/B18," - ")</f>
        <v>728</v>
      </c>
      <c r="G18" s="452">
        <f>IF(ISNUMBER(IF(D_I="SI",Datos!K18,Datos!K18+Datos!AE18)),IF(D_I="SI",Datos!K18,Datos!K18+Datos!AE18)," - ")</f>
        <v>788</v>
      </c>
      <c r="H18" s="453">
        <f>IF(ISNUMBER(G18/B18),G18/B18," - ")</f>
        <v>788</v>
      </c>
      <c r="I18" s="452">
        <f>IF(ISNUMBER(IF(D_I="SI",Datos!L18,Datos!L18+Datos!AF18)),IF(D_I="SI",Datos!L18,Datos!L18+Datos!AF18)," - ")</f>
        <v>147</v>
      </c>
      <c r="J18" s="453">
        <f>IF(ISNUMBER(I18/B18),I18/B18," - ")</f>
        <v>147</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2428</v>
      </c>
      <c r="D23" s="1150" t="str">
        <f>IF(ISNUMBER(C23/Datos!BI23),C23/Datos!BI23," - ")</f>
        <v xml:space="preserve"> - </v>
      </c>
      <c r="E23" s="1149">
        <f>SUBTOTAL(9,E15:E22)</f>
        <v>10624</v>
      </c>
      <c r="F23" s="1150">
        <f>IF(ISNUMBER(E23/B23),E23/B23," - ")</f>
        <v>3541.3333333333335</v>
      </c>
      <c r="G23" s="1149">
        <f>SUBTOTAL(9,G15:G22)</f>
        <v>10964</v>
      </c>
      <c r="H23" s="1150">
        <f>IF(ISNUMBER(G23/B23),G23/B23," - ")</f>
        <v>3654.6666666666665</v>
      </c>
      <c r="I23" s="1149">
        <f>SUBTOTAL(9,I15:I22)</f>
        <v>2152</v>
      </c>
      <c r="J23" s="1150">
        <f>IF(ISNUMBER(I23/B23),I23/B23," - ")</f>
        <v>717.33333333333337</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9</v>
      </c>
      <c r="C31" s="1087">
        <f>SUBTOTAL(9,C9:C30)</f>
        <v>7784</v>
      </c>
      <c r="D31" s="1088" t="str">
        <f>IF(ISNUMBER(C31/Datos!BI31),C31/Datos!BI31," - ")</f>
        <v xml:space="preserve"> - </v>
      </c>
      <c r="E31" s="1087">
        <f>SUBTOTAL(9,E9:E30)</f>
        <v>22201</v>
      </c>
      <c r="F31" s="1088">
        <f>IF(ISNUMBER(E31/B31),E31/B31," - ")</f>
        <v>2466.7777777777778</v>
      </c>
      <c r="G31" s="1087">
        <f>SUBTOTAL(9,G9:G30)</f>
        <v>22302</v>
      </c>
      <c r="H31" s="1088">
        <f>IF(ISNUMBER(G31/B31),G31/B31," - ")</f>
        <v>2478</v>
      </c>
      <c r="I31" s="1087">
        <f>SUBTOTAL(9,I9:I30)</f>
        <v>7896</v>
      </c>
      <c r="J31" s="1088">
        <f>IF(ISNUMBER(I31/B31),I31/B31," - ")</f>
        <v>877.33333333333337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c9ovEmXylq0omGtGxF/nTjczKKmV+sL1qVzokmguyo88VN+sLtqnM6VNXN/Rw1yEXO/yVhNOG9kaLh9xYasOoQ==" saltValue="0p6YhIEakfdoHykJnm11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TELDE</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754</v>
      </c>
      <c r="F5" s="1885" t="s">
        <v>531</v>
      </c>
      <c r="G5" s="1847" t="s">
        <v>176</v>
      </c>
      <c r="H5" s="1847" t="s">
        <v>903</v>
      </c>
      <c r="I5" s="1847" t="s">
        <v>904</v>
      </c>
      <c r="J5" s="1847" t="s">
        <v>907</v>
      </c>
      <c r="K5" s="1847" t="s">
        <v>908</v>
      </c>
      <c r="L5" s="1847" t="s">
        <v>785</v>
      </c>
      <c r="M5" s="1847" t="s">
        <v>929</v>
      </c>
      <c r="N5" s="1847" t="s">
        <v>909</v>
      </c>
      <c r="O5" s="1847" t="s">
        <v>905</v>
      </c>
      <c r="P5" s="1847" t="s">
        <v>232</v>
      </c>
      <c r="Q5" s="1847" t="s">
        <v>884</v>
      </c>
      <c r="R5" s="1847" t="s">
        <v>930</v>
      </c>
      <c r="S5" s="1847" t="str">
        <f>"Ingreso Computable 2003" &amp; IF(OR(EXACT(LEFT(boletin,2),"04"),EXACT(LEFT(boletin,2),"14"),EXACT(LEFT(boletin,2),"17"))," (Civil + Penal)","")</f>
        <v>Ingreso Computable 2003</v>
      </c>
      <c r="T5" s="1847" t="s">
        <v>906</v>
      </c>
      <c r="U5" s="1880" t="str">
        <f>"% Ingreso Computable 2003" &amp; IF(OR(EXACT(LEFT(boletin,2),"04"),EXACT(LEFT(boletin,2),"14"),EXACT(LEFT(boletin,2),"17"))," (Civil + Penal)","")</f>
        <v>% Ingreso Computable 2003</v>
      </c>
      <c r="V5" s="1880" t="s">
        <v>910</v>
      </c>
      <c r="W5" s="1847" t="s">
        <v>1041</v>
      </c>
      <c r="X5" s="1847" t="s">
        <v>1042</v>
      </c>
      <c r="Y5" s="1859" t="s">
        <v>875</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911</v>
      </c>
      <c r="AC5" s="1909" t="s">
        <v>912</v>
      </c>
      <c r="AD5" s="1909" t="s">
        <v>913</v>
      </c>
      <c r="AE5" s="1909" t="s">
        <v>914</v>
      </c>
      <c r="AF5" s="1847" t="s">
        <v>915</v>
      </c>
      <c r="AG5" s="1847" t="s">
        <v>916</v>
      </c>
      <c r="AH5" s="1847" t="s">
        <v>917</v>
      </c>
      <c r="AI5" s="1847" t="s">
        <v>918</v>
      </c>
      <c r="AJ5" s="1847" t="s">
        <v>246</v>
      </c>
      <c r="AK5" s="1868" t="s">
        <v>720</v>
      </c>
      <c r="AL5" s="1868" t="s">
        <v>247</v>
      </c>
      <c r="AM5" s="1847" t="s">
        <v>764</v>
      </c>
      <c r="AN5" s="1847" t="s">
        <v>325</v>
      </c>
      <c r="AO5" s="1847" t="s">
        <v>326</v>
      </c>
      <c r="AP5" s="1847" t="s">
        <v>919</v>
      </c>
      <c r="AQ5" s="1847" t="s">
        <v>920</v>
      </c>
      <c r="AR5" s="1847" t="s">
        <v>921</v>
      </c>
      <c r="AS5" s="1847" t="s">
        <v>922</v>
      </c>
      <c r="AT5" s="1847" t="s">
        <v>923</v>
      </c>
      <c r="AU5" s="1847" t="s">
        <v>924</v>
      </c>
      <c r="AV5" s="1847" t="s">
        <v>925</v>
      </c>
      <c r="AW5" s="1847" t="s">
        <v>926</v>
      </c>
      <c r="AX5" s="1847" t="s">
        <v>440</v>
      </c>
      <c r="AY5" s="1847" t="s">
        <v>927</v>
      </c>
      <c r="AZ5" s="1847" t="s">
        <v>928</v>
      </c>
      <c r="BA5" s="1847" t="s">
        <v>719</v>
      </c>
      <c r="BB5" s="1718" t="s">
        <v>935</v>
      </c>
      <c r="BC5" s="1718" t="s">
        <v>936</v>
      </c>
      <c r="BD5" s="1885" t="s">
        <v>937</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6</v>
      </c>
      <c r="B9" s="749" t="s">
        <v>324</v>
      </c>
      <c r="C9" s="770" t="str">
        <f>Datos!A9</f>
        <v xml:space="preserve">Jdos. 1ª Instancia   </v>
      </c>
      <c r="D9" s="597"/>
      <c r="E9" s="907">
        <f>IF(ISNUMBER(Datos!AQ9),Datos!AQ9," - ")</f>
        <v>6</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140</v>
      </c>
      <c r="G10" s="909">
        <f>IF(ISNUMBER(Datos!I10),Datos!I10," - ")</f>
        <v>140</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26</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118</v>
      </c>
      <c r="AC10" s="908" t="str">
        <f>IF(ISNUMBER(IF(D_I="SI",DatosP!K18,DatosP!K18+DatosP!AE18)),IF(D_I="SI",DatosP!K18,DatosP!K18+DatosP!AE18)," - ")</f>
        <v xml:space="preserve"> - </v>
      </c>
      <c r="AD10" s="910"/>
      <c r="AE10" s="910"/>
      <c r="AF10" s="913">
        <f>IF(ISNUMBER(Datos!L10),Datos!L10,"-")</f>
        <v>183</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51</v>
      </c>
      <c r="AM10" s="917">
        <f>IF(ISNUMBER(Datos!N10+DatosP!N18),Datos!N10+DatosP!N18," - ")</f>
        <v>32</v>
      </c>
      <c r="AN10" s="917">
        <f>IF(ISNUMBER(Datos!BW10+DatosP!BW18),Datos!BW10+DatosP!BW18," - ")</f>
        <v>0</v>
      </c>
      <c r="AO10" s="918">
        <f>IF(ISNUMBER(Datos!BX10+DatosP!BX18),Datos!BX10+DatosP!BX18," - ")</f>
        <v>0</v>
      </c>
      <c r="AP10" s="920">
        <f>IF(ISNUMBER(((Datos!L10/Datos!K10)*11)/factor_trimestre),((Datos!L10/Datos!K10)*11)/factor_trimestre," - ")</f>
        <v>17.059322033898304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8</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67</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1103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11</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3.1428571428571428</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-5.0774526678141134E-2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6</v>
      </c>
      <c r="F14" s="1261">
        <f t="shared" si="0"/>
        <v>140</v>
      </c>
      <c r="G14" s="1261">
        <f t="shared" si="0"/>
        <v>140</v>
      </c>
      <c r="H14" s="1261">
        <f t="shared" si="0"/>
        <v>0</v>
      </c>
      <c r="I14" s="1263">
        <f t="shared" si="0"/>
        <v>0</v>
      </c>
      <c r="J14" s="1262">
        <f t="shared" si="0"/>
        <v>0</v>
      </c>
      <c r="K14" s="1262">
        <f t="shared" si="0"/>
        <v>0</v>
      </c>
      <c r="L14" s="1264">
        <f t="shared" si="0"/>
        <v>0</v>
      </c>
      <c r="M14" s="1264">
        <f t="shared" si="0"/>
        <v>0</v>
      </c>
      <c r="N14" s="1262">
        <f t="shared" si="0"/>
        <v>34</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118</v>
      </c>
      <c r="AC14" s="1262">
        <f t="shared" si="1"/>
        <v>0</v>
      </c>
      <c r="AD14" s="1262">
        <f t="shared" si="1"/>
        <v>67</v>
      </c>
      <c r="AE14" s="1262">
        <f t="shared" si="1"/>
        <v>0</v>
      </c>
      <c r="AF14" s="1262">
        <f t="shared" si="1"/>
        <v>183</v>
      </c>
      <c r="AG14" s="1262">
        <f t="shared" si="1"/>
        <v>0</v>
      </c>
      <c r="AH14" s="1262">
        <f t="shared" si="1"/>
        <v>1103</v>
      </c>
      <c r="AI14" s="1262">
        <f t="shared" si="1"/>
        <v>0</v>
      </c>
      <c r="AJ14" s="1262">
        <f t="shared" si="1"/>
        <v>0</v>
      </c>
      <c r="AK14" s="1262">
        <f t="shared" si="1"/>
        <v>0</v>
      </c>
      <c r="AL14" s="1262">
        <f t="shared" si="1"/>
        <v>51</v>
      </c>
      <c r="AM14" s="1262">
        <f t="shared" si="1"/>
        <v>43</v>
      </c>
      <c r="AN14" s="1262">
        <f t="shared" si="1"/>
        <v>0</v>
      </c>
      <c r="AO14" s="1262">
        <f t="shared" si="1"/>
        <v>0</v>
      </c>
      <c r="AP14" s="1267">
        <f>IF(ISNUMBER(((Datos!L14/Datos!K14)*11)/factor_trimestre),((Datos!L14/Datos!K14)*11)/factor_trimestre," - ")</f>
        <v>5.7353603603603602</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-0.84285714285714286</v>
      </c>
      <c r="AU14" s="1262" t="str">
        <f>IF(ISNUMBER((DatosP!#REF!-DatosP!#REF!+DatosP!#REF!)/(DatosP!#REF!+DatosP!#REF!-DatosP!#REF!-DatosP!#REF!)),(DatosP!#REF!-DatosP!#REF!+DatosP!#REF!)/(DatosP!#REF!+DatosP!#REF!-DatosP!#REF!-DatosP!#REF!)," - ")</f>
        <v xml:space="preserve"> - </v>
      </c>
      <c r="AV14" s="1268">
        <f>SUBTOTAL(9,AV9:AV13)</f>
        <v>-5.0774526678141134E-2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3</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2.1590660342940531</v>
      </c>
      <c r="AQ23" s="1267">
        <f>IF(ISNUMBER(((Datos!M23/Datos!L23)*11)/factor_trimestre),((Datos!M23/Datos!L23)*11)/factor_trimestre," - ")</f>
        <v>9.3745353159851312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0.1550632911392405</v>
      </c>
      <c r="AW23" s="1270">
        <f>IF(ISNUMBER((Datos!Q23-Datos!R23)/(Datos!S23-Datos!Q23+Datos!R23)),(Datos!Q23-Datos!R23)/(Datos!S23-Datos!Q23+Datos!R23)," - ")</f>
        <v>2.7853631895139268E-2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770</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6</v>
      </c>
      <c r="F31" s="1283">
        <f t="shared" si="8"/>
        <v>140</v>
      </c>
      <c r="G31" s="1283">
        <f t="shared" si="8"/>
        <v>140</v>
      </c>
      <c r="H31" s="1283">
        <f t="shared" si="8"/>
        <v>0</v>
      </c>
      <c r="I31" s="1284">
        <f t="shared" si="8"/>
        <v>0</v>
      </c>
      <c r="J31" s="1285">
        <f t="shared" si="8"/>
        <v>0</v>
      </c>
      <c r="K31" s="1285">
        <f t="shared" si="8"/>
        <v>0</v>
      </c>
      <c r="L31" s="1285">
        <f t="shared" si="8"/>
        <v>0</v>
      </c>
      <c r="M31" s="1285">
        <f t="shared" si="8"/>
        <v>0</v>
      </c>
      <c r="N31" s="1284">
        <f t="shared" si="8"/>
        <v>34</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118</v>
      </c>
      <c r="AC31" s="1289">
        <f t="shared" si="9"/>
        <v>0</v>
      </c>
      <c r="AD31" s="1289">
        <f t="shared" si="9"/>
        <v>67</v>
      </c>
      <c r="AE31" s="1289">
        <f t="shared" si="9"/>
        <v>0</v>
      </c>
      <c r="AF31" s="1290">
        <f t="shared" si="9"/>
        <v>183</v>
      </c>
      <c r="AG31" s="1290">
        <f t="shared" si="9"/>
        <v>0</v>
      </c>
      <c r="AH31" s="1290">
        <f t="shared" si="9"/>
        <v>1103</v>
      </c>
      <c r="AI31" s="1290">
        <f t="shared" si="9"/>
        <v>0</v>
      </c>
      <c r="AJ31" s="1291">
        <f t="shared" si="9"/>
        <v>0</v>
      </c>
      <c r="AK31" s="1291">
        <f t="shared" si="9"/>
        <v>0</v>
      </c>
      <c r="AL31" s="1283">
        <f t="shared" si="9"/>
        <v>51</v>
      </c>
      <c r="AM31" s="1283">
        <f t="shared" si="9"/>
        <v>43</v>
      </c>
      <c r="AN31" s="1283">
        <f t="shared" si="9"/>
        <v>0</v>
      </c>
      <c r="AO31" s="1283">
        <f t="shared" si="9"/>
        <v>0</v>
      </c>
      <c r="AP31" s="1283">
        <f>IF(ISNUMBER(((Datos!L31/Datos!K31)*11)/factor_trimestre),((Datos!L31/Datos!K31)*11)/factor_trimestre," - ")</f>
        <v>3.9217391304347826</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-0.84285714285714286</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4.38512869399428E-2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56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2.6457513110645907</v>
      </c>
      <c r="F33" s="1009">
        <f>IF(ISNUMBER(STDEV(F8:F30)),STDEV(F8:F30),"-")</f>
        <v>76.681158050723255</v>
      </c>
      <c r="G33" s="1010">
        <f>IF(ISNUMBER(STDEV(G8:G30)),STDEV(G8:G30),"-")</f>
        <v>76.681158050723255</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64.631261785609595</v>
      </c>
      <c r="AC33" s="1011">
        <f>IF(ISNUMBER(STDEV(AC8:AC30)),STDEV(AC8:AC30),"-")</f>
        <v>0</v>
      </c>
      <c r="AD33" s="1014"/>
      <c r="AE33" s="1014"/>
      <c r="AF33" s="1014"/>
      <c r="AG33" s="1014"/>
      <c r="AH33" s="1014"/>
      <c r="AI33" s="1014"/>
      <c r="AJ33" s="1015">
        <f>IF(ISNUMBER(STDEV(AJ8:AJ30)),STDEV(AJ8:AJ30),"-")</f>
        <v>0</v>
      </c>
      <c r="AK33" s="1017"/>
      <c r="AL33" s="1009">
        <f>IF(ISNUMBER(STDEV(AL8:AL30)),STDEV(AL8:AL30),"-")</f>
        <v>26.336286754210434</v>
      </c>
      <c r="AM33" s="1009"/>
      <c r="AN33" s="1009">
        <f>IF(ISNUMBER(STDEV(AN8:AN30)),STDEV(AN8:AN30),"-")</f>
        <v>0</v>
      </c>
      <c r="AO33" s="1015">
        <f>IF(ISNUMBER(STDEV(AO8:AO30)),STDEV(AO8:AO30),"-")</f>
        <v>0</v>
      </c>
      <c r="AP33" s="1068">
        <f>IF(ISNUMBER(STDEV(AP8:AP30)),STDEV(AP8:AP30),"-")</f>
        <v>6.8580641758795311</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sasq/ewLxLRurXKhoG+aTrMXDEMdtnMV2xIfuB7ubt8TAoFKr6XidgqUG7n3RAeGMHmlsmg6EKLWxYw2M36rEg==" saltValue="yz2DCiqvjJrxmU+9vgpLF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TELDE</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6</v>
      </c>
      <c r="D9" s="452">
        <f>Datos!BK9</f>
        <v>0</v>
      </c>
      <c r="E9" s="452">
        <f>Datos!AQ9</f>
        <v>6</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3</v>
      </c>
      <c r="D16" s="452">
        <f>Datos!BK16</f>
        <v>0</v>
      </c>
      <c r="E16" s="452">
        <f>Datos!AQ16</f>
        <v>3</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YHfY0pe87o4cVGtYM722QEHJYnCMwgRzsg7HLgFOnx4F6aRPdegHeNPqm/2dbtARQJB8+BLBPxDfAcooTgI57A==" saltValue="mzKHCHI6rif81w0L/GDv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TELDE</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6</v>
      </c>
      <c r="C9" s="459">
        <f>Datos!AQ9</f>
        <v>6</v>
      </c>
      <c r="D9" s="452">
        <f>IF(ISNUMBER(Datos!M9),Datos!M9," - ")</f>
        <v>2296</v>
      </c>
      <c r="E9" s="453">
        <f t="shared" ref="E9:E14" si="0">IF(ISNUMBER(D9/B9),D9/B9," - ")</f>
        <v>382.66666666666669</v>
      </c>
      <c r="F9" s="452">
        <f>IF(ISNUMBER(Datos!N9),Datos!N9," - ")</f>
        <v>4930</v>
      </c>
      <c r="G9" s="453">
        <f t="shared" ref="G9:G14" si="1">IF(ISNUMBER(F9/B9),F9/B9," - ")</f>
        <v>821.66666666666663</v>
      </c>
      <c r="H9" s="452">
        <f>IF(ISNUMBER(Datos!O9),Datos!O9," - ")</f>
        <v>4467</v>
      </c>
      <c r="I9" s="453">
        <f>IF(ISNUMBER(H9/B9),H9/B9," - ")</f>
        <v>744.5</v>
      </c>
    </row>
    <row r="10" spans="1:9">
      <c r="A10" s="451" t="str">
        <f>Datos!A10</f>
        <v>Jdos. Violencia contra la mujer</v>
      </c>
      <c r="B10" s="481">
        <f>Datos!AO10</f>
        <v>1</v>
      </c>
      <c r="C10" s="459">
        <f>Datos!AQ10</f>
        <v>0</v>
      </c>
      <c r="D10" s="452">
        <f>IF(ISNUMBER(Datos!M10),Datos!M10," - ")</f>
        <v>51</v>
      </c>
      <c r="E10" s="453">
        <f>IF(ISNUMBER(D10/B10),D10/B10," - ")</f>
        <v>51</v>
      </c>
      <c r="F10" s="452">
        <f>IF(ISNUMBER(Datos!N10),Datos!N10," - ")</f>
        <v>32</v>
      </c>
      <c r="G10" s="453">
        <f>IF(ISNUMBER(F10/B10),F10/B10," - ")</f>
        <v>32</v>
      </c>
      <c r="H10" s="452">
        <f>IF(ISNUMBER(Datos!O10),Datos!O10," - ")</f>
        <v>32</v>
      </c>
      <c r="I10" s="453">
        <f t="shared" ref="I10:I13" si="2">IF(ISNUMBER(H10/B10),H10/B10," - ")</f>
        <v>32</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11</v>
      </c>
      <c r="G12" s="453" t="str">
        <f t="shared" si="1"/>
        <v xml:space="preserve"> - </v>
      </c>
      <c r="H12" s="452">
        <f>IF(ISNUMBER(Datos!O12),Datos!O12," - ")</f>
        <v>28</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7</v>
      </c>
      <c r="C14" s="1151">
        <f>Datos!AR14</f>
        <v>6</v>
      </c>
      <c r="D14" s="1149">
        <f>SUBTOTAL(9,D9:D13)</f>
        <v>2347</v>
      </c>
      <c r="E14" s="1150">
        <f t="shared" si="0"/>
        <v>335.28571428571428</v>
      </c>
      <c r="F14" s="1149">
        <f>SUBTOTAL(9,F9:F13)</f>
        <v>4973</v>
      </c>
      <c r="G14" s="1150">
        <f t="shared" si="1"/>
        <v>710.42857142857144</v>
      </c>
      <c r="H14" s="1149">
        <f>SUBTOTAL(9,H9:H13)</f>
        <v>4527</v>
      </c>
      <c r="I14" s="1150">
        <f>IF(ISNUMBER(H14/B14),H14/B14," - ")</f>
        <v>646.71428571428567</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3</v>
      </c>
      <c r="C16" s="482">
        <f>Datos!AQ16</f>
        <v>3</v>
      </c>
      <c r="D16" s="452">
        <f>IF(ISNUMBER(Datos!M16),Datos!M16," - ")</f>
        <v>1545</v>
      </c>
      <c r="E16" s="453">
        <f t="shared" ref="E16:E23" si="3">IF(ISNUMBER(D16/B16),D16/B16," - ")</f>
        <v>515</v>
      </c>
      <c r="F16" s="452">
        <f>IF(ISNUMBER(Datos!N16),Datos!N16," - ")</f>
        <v>5928</v>
      </c>
      <c r="G16" s="453">
        <f t="shared" ref="G16:G23" si="4">IF(ISNUMBER(F16/B16),F16/B16," - ")</f>
        <v>1976</v>
      </c>
      <c r="H16" s="452">
        <f>IF(ISNUMBER(Datos!O16),Datos!O16," - ")</f>
        <v>136</v>
      </c>
      <c r="I16" s="453">
        <f t="shared" ref="I16:I22" si="5">IF(ISNUMBER(H16/B16),H16/B16," - ")</f>
        <v>45.333333333333336</v>
      </c>
    </row>
    <row r="17" spans="1:9">
      <c r="A17" s="451" t="str">
        <f>Datos!A17</f>
        <v xml:space="preserve">Jdos. 1ª Instª. e Instr.                        </v>
      </c>
      <c r="B17" s="481">
        <f>Datos!AO17</f>
        <v>0</v>
      </c>
      <c r="C17" s="482">
        <f>Datos!AQ17</f>
        <v>0</v>
      </c>
      <c r="D17" s="452">
        <f>IF(ISNUMBER(Datos!M17),Datos!M17," - ")</f>
        <v>0</v>
      </c>
      <c r="E17" s="453" t="str">
        <f t="shared" si="3"/>
        <v xml:space="preserve"> - </v>
      </c>
      <c r="F17" s="452">
        <f>IF(ISNUMBER(Datos!N17),Datos!N17," - ")</f>
        <v>0</v>
      </c>
      <c r="G17" s="453" t="str">
        <f t="shared" si="4"/>
        <v xml:space="preserve"> - </v>
      </c>
      <c r="H17" s="452">
        <f>IF(ISNUMBER(Datos!O17),Datos!O17," - ")</f>
        <v>0</v>
      </c>
      <c r="I17" s="453" t="str">
        <f t="shared" si="5"/>
        <v xml:space="preserve"> - </v>
      </c>
    </row>
    <row r="18" spans="1:9">
      <c r="A18" s="451" t="str">
        <f>Datos!A18</f>
        <v>Jdos. Violencia contra la mujer</v>
      </c>
      <c r="B18" s="481">
        <f>Datos!AO18</f>
        <v>1</v>
      </c>
      <c r="C18" s="482">
        <f>Datos!AQ18</f>
        <v>0</v>
      </c>
      <c r="D18" s="452">
        <f>IF(ISNUMBER(Datos!M18),Datos!M18," - ")</f>
        <v>289</v>
      </c>
      <c r="E18" s="453">
        <f>IF(ISNUMBER(D18/B18),D18/B18," - ")</f>
        <v>289</v>
      </c>
      <c r="F18" s="452">
        <f>IF(ISNUMBER(Datos!N18),Datos!N18," - ")</f>
        <v>434</v>
      </c>
      <c r="G18" s="453">
        <f>IF(ISNUMBER(F18/B18),F18/B18," - ")</f>
        <v>434</v>
      </c>
      <c r="H18" s="452">
        <f>IF(ISNUMBER(Datos!O18),Datos!O18," - ")</f>
        <v>71</v>
      </c>
      <c r="I18" s="453">
        <f t="shared" si="5"/>
        <v>71</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1834</v>
      </c>
      <c r="E23" s="1150">
        <f t="shared" si="3"/>
        <v>458.5</v>
      </c>
      <c r="F23" s="1149">
        <f>SUBTOTAL(9,F16:F22)</f>
        <v>6362</v>
      </c>
      <c r="G23" s="1150">
        <f t="shared" si="4"/>
        <v>1590.5</v>
      </c>
      <c r="H23" s="1149">
        <f>SUBTOTAL(9,H16:H22)</f>
        <v>207</v>
      </c>
      <c r="I23" s="1150">
        <f>IF(ISNUMBER(H23/B23),H23/B23," - ")</f>
        <v>51.75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9</v>
      </c>
      <c r="C31" s="1087">
        <f>Datos!AR31</f>
        <v>9</v>
      </c>
      <c r="D31" s="1087">
        <f>SUBTOTAL(9,D8:D30)</f>
        <v>4181</v>
      </c>
      <c r="E31" s="1088">
        <f>IF(ISNUMBER(D31/B31),D31/B31," - ")</f>
        <v>464.55555555555554</v>
      </c>
      <c r="F31" s="1087">
        <f>SUBTOTAL(9,F8:F30)</f>
        <v>11335</v>
      </c>
      <c r="G31" s="1088">
        <f>IF(ISNUMBER(F31/B31),F31/B31," - ")</f>
        <v>1259.4444444444443</v>
      </c>
      <c r="H31" s="1087">
        <f>SUBTOTAL(9,H8:H30)</f>
        <v>4734</v>
      </c>
      <c r="I31" s="1088">
        <f>IF(ISNUMBER(H31/B31),H31/B31," - ")</f>
        <v>526</v>
      </c>
    </row>
    <row r="34" spans="1:1">
      <c r="A34" s="440" t="str">
        <f>Criterios!A4</f>
        <v>Fecha Informe: 05 abr. 2022</v>
      </c>
    </row>
    <row r="39" spans="1:1">
      <c r="A39" s="463"/>
    </row>
  </sheetData>
  <sheetProtection algorithmName="SHA-512" hashValue="HJ36vAfo2Klsk+lojDnVS7bsr3AdIy8oXxKkfws4dSmmdSIHx6EdpLg1jQVxuHMQZs2UUaN4Yk87OI2B/y8S1Q==" saltValue="xJ6KuZ40jAv8/rgf5VwL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TELDE</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2477</v>
      </c>
      <c r="C9" s="490">
        <f>IF(ISNUMBER(Datos!Q9),Datos!Q9," - ")</f>
        <v>2077</v>
      </c>
      <c r="D9" s="457">
        <f>IF(ISNUMBER(Datos!R9),Datos!R9," - ")</f>
        <v>8300</v>
      </c>
    </row>
    <row r="10" spans="1:4">
      <c r="A10" s="451" t="str">
        <f>Datos!A10</f>
        <v>Jdos. Violencia contra la mujer</v>
      </c>
      <c r="B10" s="489">
        <f>IF(ISNUMBER(Datos!P10),Datos!P10," - ")</f>
        <v>26</v>
      </c>
      <c r="C10" s="490">
        <f>IF(ISNUMBER(Datos!Q10),Datos!Q10," - ")</f>
        <v>2</v>
      </c>
      <c r="D10" s="457">
        <f>IF(ISNUMBER(Datos!R10),Datos!R10," - ")</f>
        <v>87</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8</v>
      </c>
      <c r="C12" s="490">
        <f>IF(ISNUMBER(Datos!Q12),Datos!Q12," - ")</f>
        <v>67</v>
      </c>
      <c r="D12" s="457">
        <f>IF(ISNUMBER(Datos!R12),Datos!R12," - ")</f>
        <v>1103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2511</v>
      </c>
      <c r="C14" s="1153">
        <f>SUBTOTAL(9,C9:C13)</f>
        <v>2146</v>
      </c>
      <c r="D14" s="1151">
        <f>SUBTOTAL(9,D9:D13)</f>
        <v>9490</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377</v>
      </c>
      <c r="C16" s="490">
        <f>IF(ISNUMBER(Datos!Q16),Datos!Q16," - ")</f>
        <v>336</v>
      </c>
      <c r="D16" s="457">
        <f>IF(ISNUMBER(Datos!R16),Datos!R16," - ")</f>
        <v>304</v>
      </c>
    </row>
    <row r="17" spans="1:4">
      <c r="A17" s="451" t="str">
        <f>Datos!A17</f>
        <v xml:space="preserve">Jdos. 1ª Instª. e Instr.                        </v>
      </c>
      <c r="B17" s="489">
        <f>IF(ISNUMBER(Datos!P17),Datos!P17," - ")</f>
        <v>0</v>
      </c>
      <c r="C17" s="490">
        <f>IF(ISNUMBER(Datos!Q17),Datos!Q17," - ")</f>
        <v>0</v>
      </c>
      <c r="D17" s="457">
        <f>IF(ISNUMBER(Datos!R17),Datos!R17," - ")</f>
        <v>4</v>
      </c>
    </row>
    <row r="18" spans="1:4">
      <c r="A18" s="451" t="str">
        <f>Datos!A18</f>
        <v>Jdos. Violencia contra la mujer</v>
      </c>
      <c r="B18" s="489">
        <f>IF(ISNUMBER(Datos!P18),Datos!P18," - ")</f>
        <v>88</v>
      </c>
      <c r="C18" s="490">
        <f>IF(ISNUMBER(Datos!Q18),Datos!Q18," - ")</f>
        <v>80</v>
      </c>
      <c r="D18" s="457">
        <f>IF(ISNUMBER(Datos!R18),Datos!R18," - ")</f>
        <v>57</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465</v>
      </c>
      <c r="C23" s="1153">
        <f>SUBTOTAL(9,C16:C22)</f>
        <v>416</v>
      </c>
      <c r="D23" s="1151">
        <f>SUBTOTAL(9,D16:D22)</f>
        <v>365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2976</v>
      </c>
      <c r="C31" s="1092">
        <f>SUBTOTAL(9,C8:C30)</f>
        <v>2562</v>
      </c>
      <c r="D31" s="1093">
        <f>SUBTOTAL(9,D8:D30)</f>
        <v>9855</v>
      </c>
    </row>
    <row r="32" spans="1:4" ht="7.5" customHeight="1"/>
    <row r="33" spans="1:1" ht="6" customHeight="1"/>
    <row r="34" spans="1:1">
      <c r="A34" s="440" t="str">
        <f>Criterios!A4</f>
        <v>Fecha Informe: 05 abr. 2022</v>
      </c>
    </row>
    <row r="39" spans="1:1">
      <c r="A39" s="463"/>
    </row>
  </sheetData>
  <sheetProtection algorithmName="SHA-512" hashValue="QOJCHw0YB78FfVKZGcJJEkDwmXBrE6uuLUw/FOaUbHjSYlCqsaiDzXriu78tAGx46cbVQw9lAKwF8MnWCsfO8A==" saltValue="J9g/yRqUPOUunHmt+TQB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TELDE</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0.10604453870625663</v>
      </c>
      <c r="C9" s="516">
        <f>IF(ISNUMBER(
   IF(J_V="SI",(Datos!J9-Datos!T9)/Datos!T9,(Datos!J9+Datos!Z9-(Datos!T9+Datos!AH9))/(Datos!T9+Datos!AH9))
     ),IF(J_V="SI",(Datos!J9-Datos!T9)/Datos!T9,(Datos!J9+Datos!Z9-(Datos!T9+Datos!AH9))/(Datos!T9+Datos!AH9))," - ")</f>
        <v>0.25238774838072237</v>
      </c>
      <c r="D9" s="516">
        <f>IF(ISNUMBER(
   IF(J_V="SI",(Datos!K9-Datos!U9)/Datos!U9,(Datos!K9+Datos!AA9-(Datos!U9+Datos!AI9))/(Datos!U9+Datos!AI9))
     ),IF(J_V="SI",(Datos!K9-Datos!U9)/Datos!U9,(Datos!K9+Datos!AA9-(Datos!U9+Datos!AI9))/(Datos!U9+Datos!AI9))," - ")</f>
        <v>0.33250148544266189</v>
      </c>
      <c r="E9" s="516">
        <f>IF(ISNUMBER(
   IF(J_V="SI",(Datos!L9-Datos!V9)/Datos!V9,(Datos!L9+Datos!AB9-(Datos!V9+Datos!AJ9))/(Datos!V9+Datos!AJ9))
     ),IF(J_V="SI",(Datos!L9-Datos!V9)/Datos!V9,(Datos!L9+Datos!AB9-(Datos!V9+Datos!AJ9))/(Datos!V9+Datos!AJ9))," - ")</f>
        <v>6.5963566634707579E-2</v>
      </c>
      <c r="F9" s="516">
        <f>IF(ISNUMBER((Datos!M9-Datos!W9)/Datos!W9),(Datos!M9-Datos!W9)/Datos!W9," - ")</f>
        <v>0.38647342995169082</v>
      </c>
      <c r="G9" s="517">
        <f>IF(ISNUMBER((Datos!N9-Datos!X9)/Datos!X9),(Datos!N9-Datos!X9)/Datos!X9," - ")</f>
        <v>0.22241507562608481</v>
      </c>
      <c r="H9" s="515">
        <f>IF(ISNUMBER(((NºAsuntos!G9/NºAsuntos!E9)-Datos!BD9)/Datos!BD9),((NºAsuntos!G9/NºAsuntos!E9)-Datos!BD9)/Datos!BD9," - ")</f>
        <v>6.3968796537272804E-2</v>
      </c>
      <c r="I9" s="516">
        <f>IF(ISNUMBER(((NºAsuntos!I9/NºAsuntos!G9)-Datos!BE9)/Datos!BE9),((NºAsuntos!I9/NºAsuntos!G9)-Datos!BE9)/Datos!BE9," - ")</f>
        <v>-0.20002823390430169</v>
      </c>
      <c r="J9" s="522">
        <f>IF(ISNUMBER((('Resol  Asuntos'!D9/NºAsuntos!G9)-Datos!BF9)/Datos!BF9),(('Resol  Asuntos'!D9/NºAsuntos!G9)-Datos!BF9)/Datos!BF9," - ")</f>
        <v>-0.57275601234079976</v>
      </c>
      <c r="K9" s="523">
        <f>IF(ISNUMBER((((NºAsuntos!C9+NºAsuntos!E9)/NºAsuntos!G9)-Datos!BG9)/Datos!BG9),(((NºAsuntos!C9+NºAsuntos!E9)/NºAsuntos!G9)-Datos!BG9)/Datos!BG9," - ")</f>
        <v>-9.7581525071345793E-2</v>
      </c>
    </row>
    <row r="10" spans="1:11">
      <c r="A10" s="451" t="str">
        <f>Datos!A10</f>
        <v>Jdos. Violencia contra la mujer</v>
      </c>
      <c r="B10" s="515">
        <f>IF(ISNUMBER((Datos!I10-Datos!S10)/Datos!S10),(Datos!I10-Datos!S10)/Datos!S10," - ")</f>
        <v>1.0588235294117647</v>
      </c>
      <c r="C10" s="516">
        <f>IF(ISNUMBER((Datos!J10-Datos!T10)/Datos!T10),(Datos!J10-Datos!T10)/Datos!T10," - ")</f>
        <v>5.2287581699346407E-2</v>
      </c>
      <c r="D10" s="516">
        <f>IF(ISNUMBER((Datos!K10-Datos!U10)/Datos!U10),(Datos!K10-Datos!U10)/Datos!U10," - ")</f>
        <v>0.28260869565217389</v>
      </c>
      <c r="E10" s="516">
        <f>IF(ISNUMBER((Datos!L10-Datos!V10)/Datos!V10),(Datos!L10-Datos!V10)/Datos!V10," - ")</f>
        <v>0.30714285714285716</v>
      </c>
      <c r="F10" s="516">
        <f>IF(ISNUMBER((Datos!M10-Datos!W10)/Datos!W10),(Datos!M10-Datos!W10)/Datos!W10," - ")</f>
        <v>0.96153846153846156</v>
      </c>
      <c r="G10" s="517">
        <f>IF(ISNUMBER((Datos!N10-Datos!X10)/Datos!X10),(Datos!N10-Datos!X10)/Datos!X10," - ")</f>
        <v>-5.8823529411764705E-2</v>
      </c>
      <c r="H10" s="515">
        <f>IF(ISNUMBER(((NºAsuntos!G10/NºAsuntos!E10)-Datos!BD10)/Datos!BD10),((NºAsuntos!G10/NºAsuntos!E10)-Datos!BD10)/Datos!BD10," - ")</f>
        <v>0.2188765865514449</v>
      </c>
      <c r="I10" s="516">
        <f>IF(ISNUMBER(((NºAsuntos!I10/NºAsuntos!G10)-Datos!BE10)/Datos!BE10),((NºAsuntos!I10/NºAsuntos!G10)-Datos!BE10)/Datos!BE10," - ")</f>
        <v>1.9128329297820816E-2</v>
      </c>
      <c r="J10" s="522">
        <f>IF(ISNUMBER((('Resol  Asuntos'!D10/NºAsuntos!G10)-Datos!BF10)/Datos!BF10),(('Resol  Asuntos'!D10/NºAsuntos!G10)-Datos!BF10)/Datos!BF10," - ")</f>
        <v>0.52933507170795324</v>
      </c>
      <c r="K10" s="523">
        <f>IF(ISNUMBER((((NºAsuntos!C10+NºAsuntos!E10)/NºAsuntos!G10)-Datos!BG10)/Datos!BG10),(((NºAsuntos!C10+NºAsuntos!E10)/NºAsuntos!G10)-Datos!BG10)/Datos!BG10," - ")</f>
        <v>6.1891249328936304E-2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v>
      </c>
      <c r="C12" s="516">
        <f>IF(ISNUMBER(
   IF(J_V="SI",(Datos!J12-Datos!T12)/Datos!T12,(Datos!J12+Datos!Z12-(Datos!T12+Datos!AH12))/(Datos!T12+Datos!AH12))
     ),IF(J_V="SI",(Datos!J12-Datos!T12)/Datos!T12,(Datos!J12+Datos!Z12-(Datos!T12+Datos!AH12))/(Datos!T12+Datos!AH12))," - ")</f>
        <v>0.33333333333333331</v>
      </c>
      <c r="D12" s="516">
        <f>IF(ISNUMBER(
   IF(J_V="SI",(Datos!K12-Datos!U12)/Datos!U12,(Datos!K12+Datos!AA12-(Datos!U12+Datos!AI12))/(Datos!U12+Datos!AI12))
     ),IF(J_V="SI",(Datos!K12-Datos!U12)/Datos!U12,(Datos!K12+Datos!AA12-(Datos!U12+Datos!AI12))/(Datos!U12+Datos!AI12))," - ")</f>
        <v>-0.125</v>
      </c>
      <c r="E12" s="516">
        <f>IF(ISNUMBER(
   IF(J_V="SI",(Datos!L12-Datos!V12)/Datos!V12,(Datos!L12+Datos!AB12-(Datos!V12+Datos!AJ12))/(Datos!V12+Datos!AJ12))
     ),IF(J_V="SI",(Datos!L12-Datos!V12)/Datos!V12,(Datos!L12+Datos!AB12-(Datos!V12+Datos!AJ12))/(Datos!V12+Datos!AJ12))," - ")</f>
        <v>1</v>
      </c>
      <c r="F12" s="516" t="str">
        <f>IF(ISNUMBER((Datos!M12-Datos!W12)/Datos!W12),(Datos!M12-Datos!W12)/Datos!W12," - ")</f>
        <v xml:space="preserve"> - </v>
      </c>
      <c r="G12" s="517">
        <f>IF(ISNUMBER((Datos!N12-Datos!X12)/Datos!X12),(Datos!N12-Datos!X12)/Datos!X12," - ")</f>
        <v>4.5</v>
      </c>
      <c r="H12" s="515">
        <f>IF(ISNUMBER(((NºAsuntos!G12/NºAsuntos!E12)-Datos!BD12)/Datos!BD12),((NºAsuntos!G12/NºAsuntos!E12)-Datos!BD12)/Datos!BD12," - ")</f>
        <v>-0.34374999999999994</v>
      </c>
      <c r="I12" s="516">
        <f>IF(ISNUMBER(((NºAsuntos!I12/NºAsuntos!G12)-Datos!BE12)/Datos!BE12),((NºAsuntos!I12/NºAsuntos!G12)-Datos!BE12)/Datos!BE12," - ")</f>
        <v>1.2857142857142856</v>
      </c>
      <c r="J12" s="522">
        <f>IF(ISNUMBER((('Resol  Asuntos'!D12/NºAsuntos!G12)-Datos!BF12)/Datos!BF12),(('Resol  Asuntos'!D12/NºAsuntos!G12)-Datos!BF12)/Datos!BF12," - ")</f>
        <v>-1</v>
      </c>
      <c r="K12" s="523">
        <f>IF(ISNUMBER((((NºAsuntos!C12+NºAsuntos!E12)/NºAsuntos!G12)-Datos!BG12)/Datos!BG12),(((NºAsuntos!C12+NºAsuntos!E12)/NºAsuntos!G12)-Datos!BG12)/Datos!BG12," - ")</f>
        <v>0.46938775510204095</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0.11956521739130435</v>
      </c>
      <c r="C14" s="1155">
        <f>IF(ISNUMBER(
   IF(J_V="SI",(Datos!J14-Datos!T14)/Datos!T14,(Datos!J14+Datos!Z14-(Datos!T14+Datos!AH14))/(Datos!T14+Datos!AH14))
     ),IF(J_V="SI",(Datos!J14-Datos!T14)/Datos!T14,(Datos!J14+Datos!Z14-(Datos!T14+Datos!AH14))/(Datos!T14+Datos!AH14))," - ")</f>
        <v>0.24913681484678463</v>
      </c>
      <c r="D14" s="1155">
        <f>IF(ISNUMBER(
   IF(J_V="SI",(Datos!K14-Datos!U14)/Datos!U14,(Datos!K14+Datos!AA14-(Datos!U14+Datos!AI14))/(Datos!U14+Datos!AI14))
     ),IF(J_V="SI",(Datos!K14-Datos!U14)/Datos!U14,(Datos!K14+Datos!AA14-(Datos!U14+Datos!AI14))/(Datos!U14+Datos!AI14))," - ")</f>
        <v>0.33153258954785675</v>
      </c>
      <c r="E14" s="1155">
        <f>IF(ISNUMBER(
   IF(J_V="SI",(Datos!L14-Datos!V14)/Datos!V14,(Datos!L14+Datos!AB14-(Datos!V14+Datos!AJ14))/(Datos!V14+Datos!AJ14))
     ),IF(J_V="SI",(Datos!L14-Datos!V14)/Datos!V14,(Datos!L14+Datos!AB14-(Datos!V14+Datos!AJ14))/(Datos!V14+Datos!AJ14))," - ")</f>
        <v>7.2442120985810307E-2</v>
      </c>
      <c r="F14" s="1156">
        <f>IF(ISNUMBER((Datos!M14-Datos!W14)/Datos!W14),(Datos!M14-Datos!W14)/Datos!W14," - ")</f>
        <v>0.39536266349583826</v>
      </c>
      <c r="G14" s="1157">
        <f>IF(ISNUMBER((Datos!N14-Datos!X14)/Datos!X14),(Datos!N14-Datos!X14)/Datos!X14," - ")</f>
        <v>0.2221676087490784</v>
      </c>
      <c r="H14" s="1157">
        <f>IF(ISNUMBER(((NºAsuntos!G14/NºAsuntos!E14)-Datos!BD14)/Datos!BD14),((NºAsuntos!G14/NºAsuntos!E14)-Datos!BD14)/Datos!BD14," - ")</f>
        <v>6.596216981338307E-2</v>
      </c>
      <c r="I14" s="1157">
        <f>IF(ISNUMBER(((NºAsuntos!I14/NºAsuntos!G14)-Datos!BE14)/Datos!BE14),((NºAsuntos!I14/NºAsuntos!G14)-Datos!BE14)/Datos!BE14," - ")</f>
        <v>-0.19458064383540533</v>
      </c>
      <c r="J14" s="1157">
        <f>IF(ISNUMBER((('Resol  Asuntos'!D14/NºAsuntos!G14)-Datos!BF14)/Datos!BF14),(('Resol  Asuntos'!D14/NºAsuntos!G14)-Datos!BF14)/Datos!BF14," - ")</f>
        <v>-0.56596145420196997</v>
      </c>
      <c r="K14" s="1157">
        <f>IF(ISNUMBER((((NºAsuntos!C14+NºAsuntos!E14)/NºAsuntos!G14)-Datos!BG14)/Datos!BG14),(((NºAsuntos!C14+NºAsuntos!E14)/NºAsuntos!G14)-Datos!BG14)/Datos!BG14," - ")</f>
        <v>-9.5009611253155074E-2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0.23950755456071629</v>
      </c>
      <c r="C16" s="516">
        <f>IF(ISNUMBER(
   IF(D_I="SI",(Datos!J16-Datos!T16)/Datos!T16,(Datos!J16+Datos!AD16-(Datos!T16+Datos!AL16))/(Datos!T16+Datos!AL16))
     ),IF(D_I="SI",(Datos!J16-Datos!T16)/Datos!T16,(Datos!J16+Datos!AD16-(Datos!T16+Datos!AL16))/(Datos!T16+Datos!AL16))," - ")</f>
        <v>0.12864963503649635</v>
      </c>
      <c r="D16" s="516">
        <f>IF(ISNUMBER(
   IF(D_I="SI",(Datos!K16-Datos!U16)/Datos!U16,(Datos!K16+Datos!AE16-(Datos!U16+Datos!AM16))/(Datos!U16+Datos!AM16))
     ),IF(D_I="SI",(Datos!K16-Datos!U16)/Datos!U16,(Datos!K16+Datos!AE16-(Datos!U16+Datos!AM16))/(Datos!U16+Datos!AM16))," - ")</f>
        <v>0.30177817577075605</v>
      </c>
      <c r="E16" s="516">
        <f>IF(ISNUMBER(
   IF(D_I="SI",(Datos!L16-Datos!V16)/Datos!V16,(Datos!L16+Datos!AF16-(Datos!V16+Datos!AN16))/(Datos!V16+Datos!AN16))
     ),IF(D_I="SI",(Datos!L16-Datos!V16)/Datos!V16,(Datos!L16+Datos!AF16-(Datos!V16+Datos!AN16))/(Datos!V16+Datos!AN16))," - ")</f>
        <v>-9.7516930022573362E-2</v>
      </c>
      <c r="F16" s="516">
        <f>IF(ISNUMBER((Datos!M16-Datos!W16)/Datos!W16),(Datos!M16-Datos!W16)/Datos!W16," - ")</f>
        <v>0.54500000000000004</v>
      </c>
      <c r="G16" s="517">
        <f>IF(ISNUMBER((Datos!N16-Datos!X16)/Datos!X16),(Datos!N16-Datos!X16)/Datos!X16," - ")</f>
        <v>0.14794732765298219</v>
      </c>
      <c r="H16" s="515">
        <f>IF(ISNUMBER(((NºAsuntos!G16/NºAsuntos!E16)-Datos!BD16)/Datos!BD16),((NºAsuntos!G16/NºAsuntos!E16)-Datos!BD16)/Datos!BD16," - ")</f>
        <v>0.15339440634175297</v>
      </c>
      <c r="I16" s="516">
        <f>IF(ISNUMBER(((NºAsuntos!I16/NºAsuntos!G16)-Datos!BE16)/Datos!BE16),((NºAsuntos!I16/NºAsuntos!G16)-Datos!BE16)/Datos!BE16," - ")</f>
        <v>-0.30673052692476965</v>
      </c>
      <c r="J16" s="522">
        <f>IF(ISNUMBER((('Resol  Asuntos'!D16/NºAsuntos!G16)-Datos!BF16)/Datos!BF16),(('Resol  Asuntos'!D16/NºAsuntos!G16)-Datos!BF16)/Datos!BF16," - ")</f>
        <v>0.18683814858490549</v>
      </c>
      <c r="K16" s="523">
        <f>IF(ISNUMBER((((NºAsuntos!C16+NºAsuntos!E16)/NºAsuntos!G16)-Datos!BG16)/Datos!BG16),(((NºAsuntos!C16+NºAsuntos!E16)/NºAsuntos!G16)-Datos!BG16)/Datos!BG16," - ")</f>
        <v>-0.11857618561354269</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v>
      </c>
      <c r="C17" s="516" t="str">
        <f>IF(ISNUMBER(
   IF(D_I="SI",(Datos!J17-Datos!T17)/Datos!T17,(Datos!J17+Datos!AD17-(Datos!T17+Datos!AL17))/(Datos!T17+Datos!AL17))
     ),IF(D_I="SI",(Datos!J17-Datos!T17)/Datos!T17,(Datos!J17+Datos!AD17-(Datos!T17+Datos!AL17))/(Datos!T17+Datos!AL17))," - ")</f>
        <v xml:space="preserve"> - </v>
      </c>
      <c r="D17" s="516">
        <f>IF(ISNUMBER(
   IF(D_I="SI",(Datos!K17-Datos!U17)/Datos!U17,(Datos!K17+Datos!AE17-(Datos!U17+Datos!AM17))/(Datos!U17+Datos!AM17))
     ),IF(D_I="SI",(Datos!K17-Datos!U17)/Datos!U17,(Datos!K17+Datos!AE17-(Datos!U17+Datos!AM17))/(Datos!U17+Datos!AM17))," - ")</f>
        <v>-1</v>
      </c>
      <c r="E17" s="516">
        <f>IF(ISNUMBER(
   IF(D_I="SI",(Datos!L17-Datos!V17)/Datos!V17,(Datos!L17+Datos!AF17-(Datos!V17+Datos!AN17))/(Datos!V17+Datos!AN17))
     ),IF(D_I="SI",(Datos!L17-Datos!V17)/Datos!V17,(Datos!L17+Datos!AF17-(Datos!V17+Datos!AN17))/(Datos!V17+Datos!AN17))," - ")</f>
        <v>0</v>
      </c>
      <c r="F17" s="516" t="str">
        <f>IF(ISNUMBER((Datos!M17-Datos!W17)/Datos!W17),(Datos!M17-Datos!W17)/Datos!W17," - ")</f>
        <v xml:space="preserve"> - </v>
      </c>
      <c r="G17" s="517">
        <f>IF(ISNUMBER((Datos!N17-Datos!X17)/Datos!X17),(Datos!N17-Datos!X17)/Datos!X17," - ")</f>
        <v>-1</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1.3258426966292134</v>
      </c>
      <c r="C18" s="516">
        <f>IF(ISNUMBER(
   IF(D_I="SI",(Datos!J18-Datos!T18)/Datos!T18,(Datos!J18+Datos!AD18-(Datos!T18+Datos!AL18))/(Datos!T18+Datos!AL18))
     ),IF(D_I="SI",(Datos!J18-Datos!T18)/Datos!T18,(Datos!J18+Datos!AD18-(Datos!T18+Datos!AL18))/(Datos!T18+Datos!AL18))," - ")</f>
        <v>-1.3717421124828531E-3</v>
      </c>
      <c r="D18" s="516">
        <f>IF(ISNUMBER(
   IF(D_I="SI",(Datos!K18-Datos!U18)/Datos!U18,(Datos!K18+Datos!AE18-(Datos!U18+Datos!AM18))/(Datos!U18+Datos!AM18))
     ),IF(D_I="SI",(Datos!K18-Datos!U18)/Datos!U18,(Datos!K18+Datos!AE18-(Datos!U18+Datos!AM18))/(Datos!U18+Datos!AM18))," - ")</f>
        <v>0.22741433021806853</v>
      </c>
      <c r="E18" s="516">
        <f>IF(ISNUMBER(
   IF(D_I="SI",(Datos!L18-Datos!V18)/Datos!V18,(Datos!L18+Datos!AF18-(Datos!V18+Datos!AN18))/(Datos!V18+Datos!AN18))
     ),IF(D_I="SI",(Datos!L18-Datos!V18)/Datos!V18,(Datos!L18+Datos!AF18-(Datos!V18+Datos!AN18))/(Datos!V18+Datos!AN18))," - ")</f>
        <v>-0.28985507246376813</v>
      </c>
      <c r="F18" s="516">
        <f>IF(ISNUMBER((Datos!M18-Datos!W18)/Datos!W18),(Datos!M18-Datos!W18)/Datos!W18," - ")</f>
        <v>0.39613526570048307</v>
      </c>
      <c r="G18" s="517">
        <f>IF(ISNUMBER((Datos!N18-Datos!X18)/Datos!X18),(Datos!N18-Datos!X18)/Datos!X18," - ")</f>
        <v>0</v>
      </c>
      <c r="H18" s="515">
        <f>IF(ISNUMBER(((NºAsuntos!G18/NºAsuntos!E18)-Datos!BD18)/Datos!BD18),((NºAsuntos!G18/NºAsuntos!E18)-Datos!BD18)/Datos!BD18," - ")</f>
        <v>0.22910033891342296</v>
      </c>
      <c r="I18" s="516">
        <f>IF(ISNUMBER(((NºAsuntos!I18/NºAsuntos!G18)-Datos!BE18)/Datos!BE18),((NºAsuntos!I18/NºAsuntos!G18)-Datos!BE18)/Datos!BE18," - ")</f>
        <v>-0.42143014787022726</v>
      </c>
      <c r="J18" s="522">
        <f>IF(ISNUMBER((('Resol  Asuntos'!D18/NºAsuntos!G18)-Datos!BF18)/Datos!BF18),(('Resol  Asuntos'!D18/NºAsuntos!G18)-Datos!BF18)/Datos!BF18," - ")</f>
        <v>0.13746045758846479</v>
      </c>
      <c r="K18" s="523">
        <f>IF(ISNUMBER((((NºAsuntos!C18+NºAsuntos!E18)/NºAsuntos!G18)-Datos!BG18)/Datos!BG18),(((NºAsuntos!C18+NºAsuntos!E18)/NºAsuntos!G18)-Datos!BG18)/Datos!BG18," - ")</f>
        <v>-6.8748215903590579E-2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0.29011689691817216</v>
      </c>
      <c r="C23" s="1155">
        <f>IF(ISNUMBER(
   IF(Criterios!B14="SI",(Datos!J23-Datos!T23)/Datos!T23,(Datos!J23+Datos!AD23-(Datos!T23+Datos!AL23))/(Datos!T23+Datos!AL23))
     ),IF(Criterios!B14="SI",(Datos!J23-Datos!T23)/Datos!T23,(Datos!J23+Datos!AD23-(Datos!T23+Datos!AL23))/(Datos!T23+Datos!AL23))," - ")</f>
        <v>0.11866905338527957</v>
      </c>
      <c r="D23" s="1155">
        <f>IF(ISNUMBER(
   IF(Criterios!B14="SI",(Datos!K23-Datos!U23)/Datos!U23,(Datos!K23+Datos!AE23-(Datos!U23+Datos!AM23))/(Datos!U23+Datos!AM23))
     ),IF(Criterios!B14="SI",(Datos!K23-Datos!U23)/Datos!U23,(Datos!K23+Datos!AE23-(Datos!U23+Datos!AM23))/(Datos!U23+Datos!AM23))," - ")</f>
        <v>0.29582791632194777</v>
      </c>
      <c r="E23" s="1155">
        <f>IF(ISNUMBER(
   IF(Criterios!B14="SI",(Datos!L23-Datos!V23)/Datos!V23,(Datos!L23+Datos!AF23-(Datos!V23+Datos!AN23))/(Datos!V23+Datos!AN23))
     ),IF(Criterios!B14="SI",(Datos!L23-Datos!V23)/Datos!V23,(Datos!L23+Datos!AF23-(Datos!V23+Datos!AN23))/(Datos!V23+Datos!AN23))," - ")</f>
        <v>-0.11367380560131796</v>
      </c>
      <c r="F23" s="1156">
        <f>IF(ISNUMBER((Datos!M23-Datos!W23)/Datos!W23),(Datos!M23-Datos!W23)/Datos!W23," - ")</f>
        <v>0.51946975973487985</v>
      </c>
      <c r="G23" s="1157">
        <f>IF(ISNUMBER((Datos!N23-Datos!X23)/Datos!X23),(Datos!N23-Datos!X23)/Datos!X23," - ")</f>
        <v>0.13607142857142857</v>
      </c>
      <c r="H23" s="1157">
        <f>IF(ISNUMBER(((NºAsuntos!G23/NºAsuntos!E23)-Datos!BD23)/Datos!BD23),((NºAsuntos!G23/NºAsuntos!E23)-Datos!BD23)/Datos!BD23," - ")</f>
        <v>0.15836574937025008</v>
      </c>
      <c r="I23" s="1157">
        <f>IF(ISNUMBER(((NºAsuntos!I23/NºAsuntos!G23)-Datos!BE23)/Datos!BE23),((NºAsuntos!I23/NºAsuntos!G23)-Datos!BE23)/Datos!BE23," - ")</f>
        <v>-0.3160155116009441</v>
      </c>
      <c r="J23" s="1157">
        <f>IF(ISNUMBER((('Resol  Asuntos'!D23/NºAsuntos!G23)-Datos!BF23)/Datos!BF23),(('Resol  Asuntos'!D23/NºAsuntos!G23)-Datos!BF23)/Datos!BF23," - ")</f>
        <v>0.17258606686581718</v>
      </c>
      <c r="K23" s="1157">
        <f>IF(ISNUMBER((((NºAsuntos!C23+NºAsuntos!E23)/NºAsuntos!G23)-Datos!BG23)/Datos!BG23),(((NºAsuntos!C23+NºAsuntos!E23)/NºAsuntos!G23)-Datos!BG23)/Datos!BG23," - ")</f>
        <v>-0.11483214132653895</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0.16771677167716773</v>
      </c>
      <c r="C31" s="1095">
        <f>IF(ISNUMBER(
   IF(J_V="SI",(Datos!J31-Datos!T31)/Datos!T31,(Datos!J31+Datos!Z31-(Datos!T31+Datos!AH31))/(Datos!T31+Datos!AH31))
     ),IF(J_V="SI",(Datos!J31-Datos!T31)/Datos!T31,(Datos!J31+Datos!Z31-(Datos!T31+Datos!AH31))/(Datos!T31+Datos!AH31))," - ")</f>
        <v>0.1831068478550493</v>
      </c>
      <c r="D31" s="1095">
        <f>IF(ISNUMBER(
   IF(J_V="SI",(Datos!K31-Datos!U31)/Datos!U31,(Datos!K31+Datos!AA31-(Datos!U31+Datos!AI31))/(Datos!U31+Datos!AI31))
     ),IF(J_V="SI",(Datos!K31-Datos!U31)/Datos!U31,(Datos!K31+Datos!AA31-(Datos!U31+Datos!AI31))/(Datos!U31+Datos!AI31))," - ")</f>
        <v>0.31373704052780393</v>
      </c>
      <c r="E31" s="1095">
        <f>IF(ISNUMBER(
   IF(J_V="SI",(Datos!L31-Datos!V31)/Datos!V31,(Datos!L31+Datos!AB31-(Datos!V31+Datos!AJ31))/(Datos!V31+Datos!AJ31))
     ),IF(J_V="SI",(Datos!L31-Datos!V31)/Datos!V31,(Datos!L31+Datos!AB31-(Datos!V31+Datos!AJ31))/(Datos!V31+Datos!AJ31))," - ")</f>
        <v>1.4388489208633094E-2</v>
      </c>
      <c r="F31" s="1096">
        <f>IF(ISNUMBER((Datos!M31-Datos!W31)/Datos!W31),(Datos!M31-Datos!W31)/Datos!W31," - ")</f>
        <v>0.44721356870889584</v>
      </c>
      <c r="G31" s="1097">
        <f>IF(ISNUMBER((Datos!N31-Datos!X31)/Datos!X31),(Datos!N31-Datos!X31)/Datos!X31," - ")</f>
        <v>0.17230323714965354</v>
      </c>
      <c r="H31" s="1098">
        <f>IF(ISNUMBER((Tasas!B31-Datos!BD31)/Datos!BD31),(Tasas!B31-Datos!BD31)/Datos!BD31," - ")</f>
        <v>0.11041284471439305</v>
      </c>
      <c r="I31" s="1099">
        <f>IF(ISNUMBER((Tasas!C31-Datos!BE31)/Datos!BE31),(Tasas!C31-Datos!BE31)/Datos!BE31," - ")</f>
        <v>-0.22786032675070597</v>
      </c>
      <c r="J31" s="1100">
        <f>IF(ISNUMBER((Tasas!D31-Datos!BF31)/Datos!BF31),(Tasas!D31-Datos!BF31)/Datos!BF31," - ")</f>
        <v>-0.39587618490620941</v>
      </c>
      <c r="K31" s="1100">
        <f>IF(ISNUMBER((Tasas!E31-Datos!BG31)/Datos!BG31),(Tasas!E31-Datos!BG31)/Datos!BG31," - ")</f>
        <v>-0.10250472597641307</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7jTJA7vSt17y+/0pkJ4cHD2f8l6kM3UbT2AZntsc5X7SLhU2myHDorWcgTdYoUuWCIps+w8i2vWBeKMwAzFdHw==" saltValue="cObBqGCmjFpfb2E1XuKU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TELDE</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0.9829067321178121</v>
      </c>
      <c r="C9" s="499">
        <f>IF(ISNUMBER(NºAsuntos!I9/NºAsuntos!G9),NºAsuntos!I9/NºAsuntos!G9," - ")</f>
        <v>0.49576384553643094</v>
      </c>
      <c r="D9" s="500">
        <f>IF(ISNUMBER('Resol  Asuntos'!D9/NºAsuntos!G9),'Resol  Asuntos'!D9/NºAsuntos!G9," - ")</f>
        <v>0.20476232943904396</v>
      </c>
      <c r="E9" s="501">
        <f>IF(ISNUMBER((NºAsuntos!C9+NºAsuntos!E9)/NºAsuntos!G9),(NºAsuntos!C9+NºAsuntos!E9)/NºAsuntos!G9," - ")</f>
        <v>1.482475697850709</v>
      </c>
      <c r="G9" s="524"/>
    </row>
    <row r="10" spans="1:7">
      <c r="A10" s="451" t="str">
        <f>Datos!A10</f>
        <v>Jdos. Violencia contra la mujer</v>
      </c>
      <c r="B10" s="498">
        <f>IF(ISNUMBER(NºAsuntos!G10/NºAsuntos!E10),NºAsuntos!G10/NºAsuntos!E10," - ")</f>
        <v>0.73291925465838514</v>
      </c>
      <c r="C10" s="499">
        <f>IF(ISNUMBER(NºAsuntos!I10/NºAsuntos!G10),NºAsuntos!I10/NºAsuntos!G10," - ")</f>
        <v>1.5508474576271187</v>
      </c>
      <c r="D10" s="500">
        <f>IF(ISNUMBER('Resol  Asuntos'!D10/NºAsuntos!G10),'Resol  Asuntos'!D10/NºAsuntos!G10," - ")</f>
        <v>0.43220338983050849</v>
      </c>
      <c r="E10" s="501">
        <f>IF(ISNUMBER((NºAsuntos!C10+NºAsuntos!E10)/NºAsuntos!G10),(NºAsuntos!C10+NºAsuntos!E10)/NºAsuntos!G10," - ")</f>
        <v>2.5508474576271185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0.875</v>
      </c>
      <c r="C12" s="499">
        <f>IF(ISNUMBER(NºAsuntos!I12/NºAsuntos!G12),NºAsuntos!I12/NºAsuntos!G12," - ")</f>
        <v>0.2857142857142857</v>
      </c>
      <c r="D12" s="500">
        <f>IF(ISNUMBER('Resol  Asuntos'!D12/NºAsuntos!G12),'Resol  Asuntos'!D12/NºAsuntos!G12," - ")</f>
        <v>0</v>
      </c>
      <c r="E12" s="501">
        <f>IF(ISNUMBER((NºAsuntos!C12+NºAsuntos!E12)/NºAsuntos!G12),(NºAsuntos!C12+NºAsuntos!E12)/NºAsuntos!G12," - ")</f>
        <v>1.2857142857142858</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0.97935561889954215</v>
      </c>
      <c r="C14" s="1159">
        <f>IF(ISNUMBER(NºAsuntos!I14/NºAsuntos!G14),NºAsuntos!I14/NºAsuntos!G14," - ")</f>
        <v>0.50661492326689006</v>
      </c>
      <c r="D14" s="1160">
        <f>IF(ISNUMBER('Resol  Asuntos'!D14/NºAsuntos!G14),'Resol  Asuntos'!D14/NºAsuntos!G14," - ")</f>
        <v>0.20700299876521433</v>
      </c>
      <c r="E14" s="1161">
        <f>IF(ISNUMBER((NºAsuntos!C14+NºAsuntos!E14)/NºAsuntos!G14),(NºAsuntos!C14+NºAsuntos!E14)/NºAsuntos!G14," - ")</f>
        <v>1.4934732757100018</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1.0282942603071947</v>
      </c>
      <c r="C16" s="499">
        <f>IF(ISNUMBER(NºAsuntos!I16/NºAsuntos!G16),NºAsuntos!I16/NºAsuntos!G16," - ")</f>
        <v>0.19644261006289307</v>
      </c>
      <c r="D16" s="500">
        <f>IF(ISNUMBER('Resol  Asuntos'!D16/NºAsuntos!G16),'Resol  Asuntos'!D16/NºAsuntos!G16," - ")</f>
        <v>0.15182783018867924</v>
      </c>
      <c r="E16" s="501">
        <f>IF(ISNUMBER((NºAsuntos!C16+NºAsuntos!E16)/NºAsuntos!G16),(NºAsuntos!C16+NºAsuntos!E16)/NºAsuntos!G16," - ")</f>
        <v>1.1901533018867925</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1.0824175824175823</v>
      </c>
      <c r="C18" s="499">
        <f>IF(ISNUMBER(NºAsuntos!I18/NºAsuntos!G18),NºAsuntos!I18/NºAsuntos!G18," - ")</f>
        <v>0.18654822335025381</v>
      </c>
      <c r="D18" s="500">
        <f>IF(ISNUMBER('Resol  Asuntos'!D18/NºAsuntos!G18),'Resol  Asuntos'!D18/NºAsuntos!G18," - ")</f>
        <v>0.36675126903553301</v>
      </c>
      <c r="E18" s="501">
        <f>IF(ISNUMBER((NºAsuntos!C18+NºAsuntos!E18)/NºAsuntos!G18),(NºAsuntos!C18+NºAsuntos!E18)/NºAsuntos!G18," - ")</f>
        <v>1.1865482233502538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1.0320030120481927</v>
      </c>
      <c r="C23" s="1159">
        <f>IF(ISNUMBER(NºAsuntos!I23/NºAsuntos!G23),NºAsuntos!I23/NºAsuntos!G23," - ")</f>
        <v>0.19627873039036847</v>
      </c>
      <c r="D23" s="1162">
        <f>IF(ISNUMBER('Resol  Asuntos'!D23/NºAsuntos!G23),'Resol  Asuntos'!D23/NºAsuntos!G23," - ")</f>
        <v>0.16727471725647575</v>
      </c>
      <c r="E23" s="1161">
        <f>IF(ISNUMBER((NºAsuntos!C23+NºAsuntos!E23)/NºAsuntos!G23),(NºAsuntos!C23+NºAsuntos!E23)/NºAsuntos!G23," - ")</f>
        <v>1.1904414447282015</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1.004549344624116</v>
      </c>
      <c r="C31" s="1102">
        <f>IF(ISNUMBER(NºAsuntos!I31/NºAsuntos!G31),NºAsuntos!I31/NºAsuntos!G31," - ")</f>
        <v>0.35404896421845572</v>
      </c>
      <c r="D31" s="1103">
        <f>IF(ISNUMBER('Resol  Asuntos'!D31/NºAsuntos!G31),'Resol  Asuntos'!D31/NºAsuntos!G31," - ")</f>
        <v>0.18747197560756884</v>
      </c>
      <c r="E31" s="1104">
        <f>IF(ISNUMBER((NºAsuntos!C31+NºAsuntos!E31)/NºAsuntos!G31),(NºAsuntos!C31+NºAsuntos!E31)/NºAsuntos!G31," - ")</f>
        <v>1.3444982512779122</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okAja4m+FmjlasUTyyKfKrlEVN28ktXubdZj5Gd/krjrjHQLcDad52qavxLBIOtuj3wo7hMINrmKzOe90gYP+A==" saltValue="r6UdNU2COYyOZT+fzn/q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782</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1012</v>
      </c>
      <c r="AY5" s="1602" t="s">
        <v>1013</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6</v>
      </c>
      <c r="B9" s="190" t="s">
        <v>324</v>
      </c>
      <c r="C9" s="173" t="str">
        <f>Datos!A9</f>
        <v xml:space="preserve">Jdos. 1ª Instancia   </v>
      </c>
      <c r="D9" s="173"/>
      <c r="E9" s="290">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2477</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2077</v>
      </c>
      <c r="Y9" s="374">
        <f>SUM(W9:X9)</f>
        <v>2077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8300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2296</v>
      </c>
      <c r="AJ9" s="243" t="str">
        <f>IF(ISNUMBER(Datos!BW9),Datos!BW9," - ")</f>
        <v xml:space="preserve"> - </v>
      </c>
      <c r="AK9" s="242" t="str">
        <f>IF(ISNUMBER(Datos!BX9),Datos!BX9," - ")</f>
        <v xml:space="preserve"> - </v>
      </c>
      <c r="AL9" s="266">
        <f>IF(ISNUMBER(NºAsuntos!G9/NºAsuntos!E9),NºAsuntos!G9/NºAsuntos!E9," - ")</f>
        <v>0.9829067321178121</v>
      </c>
      <c r="AM9" s="284">
        <f>IF(ISNUMBER(((NºAsuntos!I9/NºAsuntos!G9)*11)/factor_trimestre),((NºAsuntos!I9/NºAsuntos!G9)*11)/factor_trimestre," - ")</f>
        <v>5.4534023009007404</v>
      </c>
      <c r="AN9" s="267">
        <f>IF(ISNUMBER('Resol  Asuntos'!D9/NºAsuntos!G9),'Resol  Asuntos'!D9/NºAsuntos!G9," - ")</f>
        <v>0.20476232943904396</v>
      </c>
      <c r="AO9" s="268">
        <f>IF(ISNUMBER((NºAsuntos!C9+NºAsuntos!E9)/NºAsuntos!G9),(NºAsuntos!C9+NºAsuntos!E9)/NºAsuntos!G9," - ")</f>
        <v>1.482475697850709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140</v>
      </c>
      <c r="G10" s="373">
        <f>IF(ISNUMBER(Datos!I10),Datos!I10," - ")</f>
        <v>140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118</v>
      </c>
      <c r="X10" s="240">
        <f>IF(ISNUMBER(Datos!Q10),Datos!Q10," - ")</f>
        <v>2</v>
      </c>
      <c r="Y10" s="374">
        <f t="shared" ref="Y10:Y13" si="0">SUM(W10:X10)</f>
        <v>120</v>
      </c>
      <c r="Z10" s="375" t="str">
        <f>IF(ISNUMBER(Datos!CC10),Datos!CC10," - ")</f>
        <v xml:space="preserve"> - </v>
      </c>
      <c r="AA10" s="372">
        <f>IF(ISNUMBER(Datos!L10),Datos!L10,"-")</f>
        <v>183</v>
      </c>
      <c r="AB10" s="374">
        <f>IF(ISNUMBER(Datos!R10),Datos!R10," - ")</f>
        <v>87</v>
      </c>
      <c r="AC10" s="374">
        <f t="shared" ref="AC10:AC13" si="1">IF(ISNUMBER(AA10+AB10),AA10+AB10," - ")</f>
        <v>270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51</v>
      </c>
      <c r="AJ10" s="245" t="str">
        <f>IF(ISNUMBER(Datos!BW10),Datos!BW10," - ")</f>
        <v xml:space="preserve"> - </v>
      </c>
      <c r="AK10" s="246" t="str">
        <f>IF(ISNUMBER(Datos!BX10),Datos!BX10," - ")</f>
        <v xml:space="preserve"> - </v>
      </c>
      <c r="AL10" s="266">
        <f>IF(ISNUMBER(NºAsuntos!G10/NºAsuntos!E10),NºAsuntos!G10/NºAsuntos!E10," - ")</f>
        <v>0.73291925465838514</v>
      </c>
      <c r="AM10" s="284">
        <f>IF(ISNUMBER(((NºAsuntos!I10/NºAsuntos!G10)*11)/factor_trimestre),((NºAsuntos!I10/NºAsuntos!G10)*11)/factor_trimestre," - ")</f>
        <v>17.059322033898304</v>
      </c>
      <c r="AN10" s="267">
        <f>IF(ISNUMBER('Resol  Asuntos'!D10/NºAsuntos!G10),'Resol  Asuntos'!D10/NºAsuntos!G10," - ")</f>
        <v>0.43220338983050849</v>
      </c>
      <c r="AO10" s="268">
        <f>IF(ISNUMBER((NºAsuntos!C10+NºAsuntos!E10)/NºAsuntos!G10),(NºAsuntos!C10+NºAsuntos!E10)/NºAsuntos!G10," - ")</f>
        <v>2.5508474576271185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0.875</v>
      </c>
      <c r="AM12" s="284">
        <f>IF(ISNUMBER(((NºAsuntos!I12/NºAsuntos!G12)*11)/factor_trimestre),((NºAsuntos!I12/NºAsuntos!G12)*11)/factor_trimestre," - ")</f>
        <v>3.1428571428571428</v>
      </c>
      <c r="AN12" s="267">
        <f>IF(ISNUMBER('Resol  Asuntos'!D12/NºAsuntos!G12),'Resol  Asuntos'!D12/NºAsuntos!G12," - ")</f>
        <v>0</v>
      </c>
      <c r="AO12" s="268">
        <f>IF(ISNUMBER((NºAsuntos!C12+NºAsuntos!E12)/NºAsuntos!G12),(NºAsuntos!C12+NºAsuntos!E12)/NºAsuntos!G12," - ")</f>
        <v>1.2857142857142858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6</v>
      </c>
      <c r="F14" s="1165">
        <f t="shared" si="5"/>
        <v>140</v>
      </c>
      <c r="G14" s="1166">
        <f t="shared" si="5"/>
        <v>140</v>
      </c>
      <c r="H14" s="1165">
        <f t="shared" si="5"/>
        <v>0</v>
      </c>
      <c r="I14" s="1167">
        <f t="shared" si="5"/>
        <v>0</v>
      </c>
      <c r="J14" s="1167">
        <f t="shared" si="5"/>
        <v>0</v>
      </c>
      <c r="K14" s="1167">
        <f t="shared" si="5"/>
        <v>0</v>
      </c>
      <c r="L14" s="1167">
        <f t="shared" si="5"/>
        <v>2511</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118</v>
      </c>
      <c r="X14" s="1167">
        <f t="shared" si="6"/>
        <v>2146</v>
      </c>
      <c r="Y14" s="1168">
        <f t="shared" si="6"/>
        <v>2264</v>
      </c>
      <c r="Z14" s="1168">
        <f t="shared" si="6"/>
        <v>0</v>
      </c>
      <c r="AA14" s="1168">
        <f t="shared" si="6"/>
        <v>183</v>
      </c>
      <c r="AB14" s="1168">
        <f t="shared" si="6"/>
        <v>9490</v>
      </c>
      <c r="AC14" s="1168">
        <f t="shared" si="6"/>
        <v>270</v>
      </c>
      <c r="AD14" s="1168">
        <f t="shared" si="6"/>
        <v>0</v>
      </c>
      <c r="AE14" s="1172">
        <f t="shared" si="6"/>
        <v>0</v>
      </c>
      <c r="AF14" s="1165">
        <f t="shared" si="6"/>
        <v>0</v>
      </c>
      <c r="AG14" s="1173">
        <f t="shared" si="6"/>
        <v>0</v>
      </c>
      <c r="AH14" s="1170">
        <f t="shared" si="6"/>
        <v>0</v>
      </c>
      <c r="AI14" s="1165">
        <f t="shared" si="6"/>
        <v>2347</v>
      </c>
      <c r="AJ14" s="1167">
        <f t="shared" si="6"/>
        <v>0</v>
      </c>
      <c r="AK14" s="1170">
        <f>SUBTOTAL(9,AK9:AK13)</f>
        <v>0</v>
      </c>
      <c r="AL14" s="1174">
        <f>IF(ISNUMBER(NºAsuntos!G14/NºAsuntos!E14),NºAsuntos!G14/NºAsuntos!E14," - ")</f>
        <v>0.97935561889954215</v>
      </c>
      <c r="AM14" s="1174">
        <f>IF(ISNUMBER(((NºAsuntos!I14/NºAsuntos!G14)*11)/factor_trimestre),((NºAsuntos!I14/NºAsuntos!G14)*11)/factor_trimestre," - ")</f>
        <v>5.5727641559357908</v>
      </c>
      <c r="AN14" s="1175">
        <f>IF(ISNUMBER('Resol  Asuntos'!D14/NºAsuntos!G14),'Resol  Asuntos'!D14/NºAsuntos!G14," - ")</f>
        <v>0.20700299876521433</v>
      </c>
      <c r="AO14" s="1176">
        <f>IF(ISNUMBER((NºAsuntos!C14+NºAsuntos!E14)/NºAsuntos!G14),(NºAsuntos!C14+NºAsuntos!E14)/NºAsuntos!G14," - ")</f>
        <v>1.4934732757100018</v>
      </c>
      <c r="AP14" s="1177" t="str">
        <f t="shared" si="2"/>
        <v xml:space="preserve"> - </v>
      </c>
      <c r="AQ14" s="1177">
        <f>IF(ISNUMBER((H14-W14+K14)/(F14)),(H14-W14+K14)/(F14)," - ")</f>
        <v>-0.84285714285714286</v>
      </c>
      <c r="AR14" s="1178">
        <f>IF(ISNUMBER((Datos!P14-Datos!Q14)/(Datos!R14-Datos!P14+Datos!Q14)),(Datos!P14-Datos!Q14)/(Datos!R14-Datos!P14+Datos!Q14)," - ")</f>
        <v>0.04</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3</v>
      </c>
      <c r="B16" s="300" t="s">
        <v>515</v>
      </c>
      <c r="C16" s="173" t="str">
        <f>Datos!A16</f>
        <v xml:space="preserve">Jdos. Instrucción                               </v>
      </c>
      <c r="D16" s="173"/>
      <c r="E16" s="290">
        <f>IF(ISNUMBER(Datos!AQ16),Datos!AQ16," - ")</f>
        <v>3</v>
      </c>
      <c r="F16" s="239">
        <f>IF(ISNUMBER(AA16+W16-Datos!J16-K16),AA16+W16-Datos!J16-K16," - ")</f>
        <v>2279</v>
      </c>
      <c r="G16" s="373">
        <f>IF(ISNUMBER(IF(D_I="SI",Datos!I16,Datos!I16+Datos!AC16)),IF(D_I="SI",Datos!I16,Datos!I16+Datos!AC16)," - ")</f>
        <v>2215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377</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10176</v>
      </c>
      <c r="X16" s="240">
        <f>IF(ISNUMBER(Datos!Q16),Datos!Q16," - ")</f>
        <v>336</v>
      </c>
      <c r="Y16" s="374">
        <f>SUM(W16)</f>
        <v>10176</v>
      </c>
      <c r="Z16" s="375" t="str">
        <f>IF(ISNUMBER(Datos!CC16),Datos!CC16," - ")</f>
        <v xml:space="preserve"> - </v>
      </c>
      <c r="AA16" s="372">
        <f>IF(ISNUMBER(IF(D_I="SI",Datos!L16,Datos!L16+Datos!AF16)),IF(D_I="SI",Datos!L16,Datos!L16+Datos!AF16)," - ")</f>
        <v>1999</v>
      </c>
      <c r="AB16" s="374">
        <f>IF(ISNUMBER(Datos!R16),Datos!R16," - ")</f>
        <v>304</v>
      </c>
      <c r="AC16" s="374">
        <f t="shared" ref="AC16:AC22" si="8">IF(ISNUMBER(AA16+AB16),AA16+AB16," - ")</f>
        <v>2303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1545</v>
      </c>
      <c r="AJ16" s="245" t="str">
        <f>IF(ISNUMBER(Datos!BW16),Datos!BW16," - ")</f>
        <v xml:space="preserve"> - </v>
      </c>
      <c r="AK16" s="246" t="str">
        <f>IF(ISNUMBER(Datos!BX16),Datos!BX16," - ")</f>
        <v xml:space="preserve"> - </v>
      </c>
      <c r="AL16" s="266">
        <f>IF(ISNUMBER(NºAsuntos!G16/NºAsuntos!E16),NºAsuntos!G16/NºAsuntos!E16," - ")</f>
        <v>1.0282942603071947</v>
      </c>
      <c r="AM16" s="284">
        <f>IF(ISNUMBER(((NºAsuntos!I16/NºAsuntos!G16)*11)/factor_trimestre),((NºAsuntos!I16/NºAsuntos!G16)*11)/factor_trimestre," - ")</f>
        <v>2.1608687106918238</v>
      </c>
      <c r="AN16" s="267">
        <f>IF(ISNUMBER('Resol  Asuntos'!D16/NºAsuntos!G16),'Resol  Asuntos'!D16/NºAsuntos!G16," - ")</f>
        <v>0.15182783018867924</v>
      </c>
      <c r="AO16" s="268">
        <f>IF(ISNUMBER((NºAsuntos!C16+NºAsuntos!E16)/NºAsuntos!G16),(NºAsuntos!C16+NºAsuntos!E16)/NºAsuntos!G16," - ")</f>
        <v>1.1901533018867925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f>IF(ISNUMBER(AA17+W17-Datos!J17-K17),AA17+W17-Datos!J17-K17," - ")</f>
        <v>6</v>
      </c>
      <c r="G17" s="373">
        <f>IF(ISNUMBER(IF(D_I="SI",Datos!I17,Datos!I17+Datos!AC17)),IF(D_I="SI",Datos!I17,Datos!I17+Datos!AC17)," - ")</f>
        <v>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6</v>
      </c>
      <c r="AB17" s="374">
        <f>IF(ISNUMBER(Datos!R17),Datos!R17," - ")</f>
        <v>4</v>
      </c>
      <c r="AC17" s="374">
        <f t="shared" si="8"/>
        <v>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207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88</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788</v>
      </c>
      <c r="X18" s="240">
        <f>IF(ISNUMBER(Datos!Q18),Datos!Q18," - ")</f>
        <v>80</v>
      </c>
      <c r="Y18" s="374">
        <f t="shared" si="9"/>
        <v>868</v>
      </c>
      <c r="Z18" s="375" t="str">
        <f>IF(ISNUMBER(Datos!CC18),Datos!CC18," - ")</f>
        <v xml:space="preserve"> - </v>
      </c>
      <c r="AA18" s="372">
        <f>IF(ISNUMBER(Datos!L18),Datos!L18,"-")</f>
        <v>147</v>
      </c>
      <c r="AB18" s="374">
        <f>IF(ISNUMBER(Datos!R18),Datos!R18," - ")</f>
        <v>57</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289</v>
      </c>
      <c r="AJ18" s="245" t="str">
        <f>IF(ISNUMBER(Datos!BW18),Datos!BW18," - ")</f>
        <v xml:space="preserve"> - </v>
      </c>
      <c r="AK18" s="246" t="str">
        <f>IF(ISNUMBER(Datos!BX18),Datos!BX18," - ")</f>
        <v xml:space="preserve"> - </v>
      </c>
      <c r="AL18" s="266">
        <f>IF(ISNUMBER(NºAsuntos!G18/NºAsuntos!E18),NºAsuntos!G18/NºAsuntos!E18," - ")</f>
        <v>1.0824175824175823</v>
      </c>
      <c r="AM18" s="284">
        <f>IF(ISNUMBER(((NºAsuntos!I18/NºAsuntos!G18)*11)/factor_trimestre),((NºAsuntos!I18/NºAsuntos!G18)*11)/factor_trimestre," - ")</f>
        <v>2.0520304568527918</v>
      </c>
      <c r="AN18" s="267">
        <f>IF(ISNUMBER('Resol  Asuntos'!D18/NºAsuntos!G18),'Resol  Asuntos'!D18/NºAsuntos!G18," - ")</f>
        <v>0.36675126903553301</v>
      </c>
      <c r="AO18" s="268">
        <f>IF(ISNUMBER((NºAsuntos!C18+NºAsuntos!E18)/NºAsuntos!G18),(NºAsuntos!C18+NºAsuntos!E18)/NºAsuntos!G18," - ")</f>
        <v>1.1865482233502538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2285</v>
      </c>
      <c r="G23" s="1166">
        <f>SUBTOTAL(9,G16:G22)</f>
        <v>2428</v>
      </c>
      <c r="H23" s="1165">
        <f t="shared" ref="H23:O23" si="13">SUBTOTAL(9,H15:H22)</f>
        <v>0</v>
      </c>
      <c r="I23" s="1167">
        <f t="shared" si="13"/>
        <v>0</v>
      </c>
      <c r="J23" s="1167">
        <f t="shared" si="13"/>
        <v>0</v>
      </c>
      <c r="K23" s="1167">
        <f t="shared" si="13"/>
        <v>0</v>
      </c>
      <c r="L23" s="1167">
        <f t="shared" si="13"/>
        <v>465</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10964</v>
      </c>
      <c r="X23" s="1167">
        <f t="shared" si="14"/>
        <v>416</v>
      </c>
      <c r="Y23" s="1168">
        <f t="shared" si="14"/>
        <v>11044</v>
      </c>
      <c r="Z23" s="1168">
        <f t="shared" si="14"/>
        <v>0</v>
      </c>
      <c r="AA23" s="1168">
        <f t="shared" si="14"/>
        <v>2152</v>
      </c>
      <c r="AB23" s="1168">
        <f t="shared" si="14"/>
        <v>365</v>
      </c>
      <c r="AC23" s="1168">
        <f t="shared" si="14"/>
        <v>2517</v>
      </c>
      <c r="AD23" s="1168">
        <f t="shared" si="14"/>
        <v>0</v>
      </c>
      <c r="AE23" s="1172">
        <f t="shared" si="14"/>
        <v>0</v>
      </c>
      <c r="AF23" s="1165">
        <f t="shared" si="14"/>
        <v>0</v>
      </c>
      <c r="AG23" s="1173">
        <f t="shared" si="14"/>
        <v>0</v>
      </c>
      <c r="AH23" s="1170">
        <f t="shared" si="14"/>
        <v>0</v>
      </c>
      <c r="AI23" s="1165">
        <f t="shared" si="14"/>
        <v>1834</v>
      </c>
      <c r="AJ23" s="1167">
        <f t="shared" si="14"/>
        <v>0</v>
      </c>
      <c r="AK23" s="1170">
        <f t="shared" si="14"/>
        <v>0</v>
      </c>
      <c r="AL23" s="1174">
        <f>IF(ISNUMBER(NºAsuntos!G23/NºAsuntos!E23),NºAsuntos!G23/NºAsuntos!E23," - ")</f>
        <v>1.0320030120481927</v>
      </c>
      <c r="AM23" s="1174">
        <f>IF(ISNUMBER(((NºAsuntos!I23/NºAsuntos!G23)*11)/factor_trimestre),((NºAsuntos!I23/NºAsuntos!G23)*11)/factor_trimestre," - ")</f>
        <v>2.1590660342940531</v>
      </c>
      <c r="AN23" s="1175">
        <f>IF(ISNUMBER('Resol  Asuntos'!D23/NºAsuntos!G23),'Resol  Asuntos'!D23/NºAsuntos!G23," - ")</f>
        <v>0.16727471725647575</v>
      </c>
      <c r="AO23" s="1176">
        <f>IF(ISNUMBER((NºAsuntos!C23+NºAsuntos!E23)/NºAsuntos!G23),(NºAsuntos!C23+NºAsuntos!E23)/NºAsuntos!G23," - ")</f>
        <v>1.1904414447282015</v>
      </c>
      <c r="AP23" s="1177" t="str">
        <f t="shared" si="2"/>
        <v xml:space="preserve"> - </v>
      </c>
      <c r="AQ23" s="1177">
        <f>IF(ISNUMBER((H23-W23+K23)/(F23)),(H23-W23+K23)/(F23)," - ")</f>
        <v>-4.7982494529540478</v>
      </c>
      <c r="AR23" s="1178">
        <f>IF(ISNUMBER((Datos!P23-Datos!Q23)/(Datos!R23-Datos!P23+Datos!Q23)),(Datos!P23-Datos!Q23)/(Datos!R23-Datos!P23+Datos!Q23)," - ")</f>
        <v>0.1550632911392405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9</v>
      </c>
      <c r="F31" s="1120">
        <f t="shared" si="20"/>
        <v>2425</v>
      </c>
      <c r="G31" s="1121">
        <f t="shared" si="20"/>
        <v>2568</v>
      </c>
      <c r="H31" s="1120">
        <f t="shared" si="20"/>
        <v>0</v>
      </c>
      <c r="I31" s="1122">
        <f t="shared" si="20"/>
        <v>0</v>
      </c>
      <c r="J31" s="1122">
        <f t="shared" si="20"/>
        <v>0</v>
      </c>
      <c r="K31" s="1183">
        <f t="shared" si="20"/>
        <v>0</v>
      </c>
      <c r="L31" s="1122">
        <f t="shared" si="20"/>
        <v>2976</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11082</v>
      </c>
      <c r="X31" s="1121">
        <f t="shared" si="21"/>
        <v>2562</v>
      </c>
      <c r="Y31" s="1128">
        <f t="shared" si="21"/>
        <v>13308</v>
      </c>
      <c r="Z31" s="1128">
        <f t="shared" si="21"/>
        <v>0</v>
      </c>
      <c r="AA31" s="1128">
        <f t="shared" si="21"/>
        <v>2335</v>
      </c>
      <c r="AB31" s="1128">
        <f t="shared" si="21"/>
        <v>9855</v>
      </c>
      <c r="AC31" s="1128">
        <f t="shared" si="21"/>
        <v>2787</v>
      </c>
      <c r="AD31" s="1128">
        <f t="shared" si="21"/>
        <v>0</v>
      </c>
      <c r="AE31" s="1130">
        <f t="shared" si="21"/>
        <v>0</v>
      </c>
      <c r="AF31" s="1131">
        <f t="shared" si="21"/>
        <v>0</v>
      </c>
      <c r="AG31" s="1132">
        <f t="shared" si="21"/>
        <v>0</v>
      </c>
      <c r="AH31" s="1130">
        <f t="shared" si="21"/>
        <v>0</v>
      </c>
      <c r="AI31" s="1120">
        <f t="shared" si="21"/>
        <v>4181</v>
      </c>
      <c r="AJ31" s="1120">
        <f t="shared" si="21"/>
        <v>0</v>
      </c>
      <c r="AK31" s="1130">
        <f t="shared" si="21"/>
        <v>0</v>
      </c>
      <c r="AL31" s="1186">
        <f>IF(ISNUMBER(NºAsuntos!G31/NºAsuntos!E31),NºAsuntos!G31/NºAsuntos!E31," - ")</f>
        <v>1.004549344624116</v>
      </c>
      <c r="AM31" s="1187">
        <f>IF(ISNUMBER(((NºAsuntos!I31/NºAsuntos!G31)*11)/factor_trimestre),((NºAsuntos!I31/NºAsuntos!G31)*11)/factor_trimestre," - ")</f>
        <v>3.894538606403013</v>
      </c>
      <c r="AN31" s="1187">
        <f>IF(ISNUMBER('Resol  Asuntos'!D31/NºAsuntos!G31),'Resol  Asuntos'!D31/NºAsuntos!G31," - ")</f>
        <v>0.18747197560756884</v>
      </c>
      <c r="AO31" s="1188">
        <f>IF(ISNUMBER((NºAsuntos!C31+NºAsuntos!E31)/NºAsuntos!G31),(NºAsuntos!C31+NºAsuntos!E31)/NºAsuntos!G31," - ")</f>
        <v>1.3444982512779122</v>
      </c>
      <c r="AP31" s="1189" t="str">
        <f t="shared" si="2"/>
        <v xml:space="preserve"> - </v>
      </c>
      <c r="AQ31" s="1190">
        <f>IF(OR(ISNUMBER(FIND("01",Criterios!A8,1)),ISNUMBER(FIND("02",Criterios!A8,1)),ISNUMBER(FIND("03",Criterios!A8,1)),ISNUMBER(FIND("04",Criterios!A8,1))),(I31-W31+K31)/(F31-K31),(H31-W31+K31)/(F31-K31))</f>
        <v>-4.5698969072164948</v>
      </c>
      <c r="AR31" s="1191">
        <f>IF(ISNUMBER((Datos!P31-Datos!Q31)/(Datos!R31-Datos!P31+Datos!Q31)),(Datos!P31-Datos!Q31)/(Datos!R31-Datos!P31+Datos!Q31)," - ")</f>
        <v>4.38512869399428E-2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642</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2.0131148946216082</v>
      </c>
      <c r="F33" s="276">
        <f>IF(ISNUMBER(STDEV(F8:F30)),STDEV(F8:F30),"-")</f>
        <v>1087.3472963396482</v>
      </c>
      <c r="G33" s="277">
        <f>IF(ISNUMBER(STDEV(G8:G30)),STDEV(G8:G30),"-")</f>
        <v>1041.0284749776472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4825.5821558499183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1034.1085049452015</v>
      </c>
      <c r="AJ33" s="276">
        <f t="shared" si="24"/>
        <v>0</v>
      </c>
      <c r="AK33" s="278">
        <f t="shared" si="24"/>
        <v>0</v>
      </c>
      <c r="AL33" s="273">
        <f t="shared" si="24"/>
        <v>0.11868545184189942</v>
      </c>
      <c r="AM33" s="274">
        <f t="shared" si="24"/>
        <v>5.3737946157069487</v>
      </c>
      <c r="AN33" s="274">
        <f t="shared" si="24"/>
        <v>0.14305006418722641</v>
      </c>
      <c r="AO33" s="275">
        <f t="shared" si="24"/>
        <v>0.48965343254508187</v>
      </c>
      <c r="AP33" s="317" t="str">
        <f t="shared" si="24"/>
        <v>-</v>
      </c>
      <c r="AQ33" s="318">
        <f t="shared" si="24"/>
        <v>2.7968847247226454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MOV64NW7c+VD8DnP/O0Fdz2K5W130ZKlGRgIMwD64SellLTtUfhsNUeKWHmGdNhp1kk9IhXEudSD7sXUYoA/bg==" saltValue="2Cr48OZHKifsN45I29RFU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0.38647342995169082</v>
      </c>
      <c r="I9" s="396">
        <f>IF(ISNUMBER((Tasas!C9-Datos!BE9)/Datos!BE9),(Tasas!C9-Datos!BE9)/Datos!BE9," - ")</f>
        <v>-0.20002823390430169</v>
      </c>
      <c r="J9" s="395">
        <f>IF(ISNUMBER((Tasas!D9-Datos!BF9)/Datos!BF9),(Tasas!D9-Datos!BF9)/Datos!BF9," - ")</f>
        <v>-0.57275601234079976</v>
      </c>
      <c r="K9" s="397">
        <f>IF(ISNUMBER((Tasas!E9-Datos!BG9)/Datos!BG9),(Tasas!E9-Datos!BG9)/Datos!BG9," - ")</f>
        <v>-9.7581525071345793E-2</v>
      </c>
      <c r="M9" t="e">
        <f>IF(Monitorios="SI",Datos!CE9,0)</f>
        <v>#REF!</v>
      </c>
      <c r="N9" t="e">
        <f>IF(Monitorios="SI",Datos!CF9,0)</f>
        <v>#REF!</v>
      </c>
      <c r="O9" t="e">
        <f>IF(Monitorios="SI",Datos!CG9,0)</f>
        <v>#REF!</v>
      </c>
      <c r="P9" t="e">
        <f>IF(Monitorios="SI",Datos!CH9,0)</f>
        <v>#REF!</v>
      </c>
      <c r="Q9">
        <f>IF(J_V="SI",0,Datos!AG9)</f>
        <v>217</v>
      </c>
      <c r="R9">
        <f>IF(J_V="SI",0,Datos!AH9)</f>
        <v>538</v>
      </c>
      <c r="S9">
        <f>IF(J_V="SI",0,Datos!AI9)</f>
        <v>516</v>
      </c>
      <c r="T9">
        <f>IF(J_V="SI",0,Datos!AJ9)</f>
        <v>224</v>
      </c>
    </row>
    <row r="10" spans="2:20" ht="14.25">
      <c r="B10" s="300" t="s">
        <v>324</v>
      </c>
      <c r="C10" s="7" t="str">
        <f>Datos!A10</f>
        <v>Jdos. Violencia contra la mujer</v>
      </c>
      <c r="D10" s="398">
        <f>IF(ISNUMBER((Datos!I10-Datos!S10)/Datos!S10),(Datos!I10-Datos!S10)/Datos!S10," - ")</f>
        <v>1.0588235294117647</v>
      </c>
      <c r="E10" s="394">
        <f>IF(ISNUMBER((Datos!J10-Datos!T10)/Datos!T10),(Datos!J10-Datos!T10)/Datos!T10," - ")</f>
        <v>5.2287581699346407E-2</v>
      </c>
      <c r="F10" s="394">
        <f>IF(ISNUMBER((Datos!K10-Datos!U10)/Datos!U10),(Datos!K10-Datos!U10)/Datos!U10," - ")</f>
        <v>0.28260869565217389</v>
      </c>
      <c r="G10" s="395">
        <f>IF(ISNUMBER((Datos!L10-Datos!V10)/Datos!V10),(Datos!L10-Datos!V10)/Datos!V10," - ")</f>
        <v>0.30714285714285716</v>
      </c>
      <c r="H10" s="244">
        <f>IF(ISNUMBER((Datos!M10-Datos!W10)/Datos!W10),(Datos!M10-Datos!W10)/Datos!W10," - ")</f>
        <v>0.96153846153846156</v>
      </c>
      <c r="I10" s="396">
        <f>IF(ISNUMBER((Tasas!C10-Datos!BE10)/Datos!BE10),(Tasas!C10-Datos!BE10)/Datos!BE10," - ")</f>
        <v>1.9128329297820816E-2</v>
      </c>
      <c r="J10" s="395">
        <f>IF(ISNUMBER((Tasas!D10-Datos!BF10)/Datos!BF10),(Tasas!D10-Datos!BF10)/Datos!BF10," - ")</f>
        <v>0.52933507170795324</v>
      </c>
      <c r="K10" s="397">
        <f>IF(ISNUMBER((Tasas!E10-Datos!BG10)/Datos!BG10),(Tasas!E10-Datos!BG10)/Datos!BG10," - ")</f>
        <v>6.1891249328936304E-2</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f>IF(ISNUMBER((Tasas!C12-Datos!BE12)/Datos!BE12),(Tasas!C12-Datos!BE12)/Datos!BE12," - ")</f>
        <v>1.2857142857142856</v>
      </c>
      <c r="J12" s="395">
        <f>IF(ISNUMBER((Tasas!D12-Datos!BF12)/Datos!BF12),(Tasas!D12-Datos!BF12)/Datos!BF12," - ")</f>
        <v>-1</v>
      </c>
      <c r="K12" s="397">
        <f>IF(ISNUMBER((Tasas!E12-Datos!BG12)/Datos!BG12),(Tasas!E12-Datos!BG12)/Datos!BG12," - ")</f>
        <v>0.46938775510204095</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0.39536266349583826</v>
      </c>
      <c r="I14" s="403">
        <f>IF(ISNUMBER((Tasas!C14-Datos!BE14)/Datos!BE14),(Tasas!C14-Datos!BE14)/Datos!BE14," - ")</f>
        <v>-0.19458064383540533</v>
      </c>
      <c r="J14" s="401">
        <f>IF(ISNUMBER((Tasas!D14-Datos!BF14)/Datos!BF14),(Tasas!D14-Datos!BF14)/Datos!BF14," - ")</f>
        <v>-0.56596145420196997</v>
      </c>
      <c r="K14" s="404">
        <f>IF(ISNUMBER((Tasas!E14-Datos!BG14)/Datos!BG14),(Tasas!E14-Datos!BG14)/Datos!BG14," - ")</f>
        <v>-9.5009611253155074E-2</v>
      </c>
      <c r="M14" t="e">
        <f>IF(Monitorios="SI",Datos!CE14,0)</f>
        <v>#REF!</v>
      </c>
      <c r="N14" t="e">
        <f>IF(Monitorios="SI",Datos!CF14,0)</f>
        <v>#REF!</v>
      </c>
      <c r="O14" t="e">
        <f>IF(Monitorios="SI",Datos!CG14,0)</f>
        <v>#REF!</v>
      </c>
      <c r="P14" t="e">
        <f>IF(Monitorios="SI",Datos!CH14,0)</f>
        <v>#REF!</v>
      </c>
      <c r="Q14">
        <f>IF(J_V="SI",0,Datos!AG14)</f>
        <v>217</v>
      </c>
      <c r="R14">
        <f>IF(J_V="SI",0,Datos!AH14)</f>
        <v>538</v>
      </c>
      <c r="S14">
        <f>IF(J_V="SI",0,Datos!AI14)</f>
        <v>516</v>
      </c>
      <c r="T14">
        <f>IF(J_V="SI",0,Datos!AJ14)</f>
        <v>224</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0.23950755456071629</v>
      </c>
      <c r="E16" s="394">
        <f>IF(ISNUMBER(
   IF(D_I="SI",(Datos!J16-Datos!T16)/Datos!T16,(Datos!J16+Datos!AD16-(Datos!T16+Datos!AL16))/(Datos!T16+Datos!AL16))
     ),IF(D_I="SI",(Datos!J16-Datos!T16)/Datos!T16,(Datos!J16+Datos!AD16-(Datos!T16+Datos!AL16))/(Datos!T16+Datos!AL16))," - ")</f>
        <v>0.12864963503649635</v>
      </c>
      <c r="F16" s="394">
        <f>IF(ISNUMBER(
   IF(D_I="SI",(Datos!K16-Datos!U16)/Datos!U16,(Datos!K16+Datos!AE16-(Datos!U16+Datos!AM16))/(Datos!U16+Datos!AM16))
     ),IF(D_I="SI",(Datos!K16-Datos!U16)/Datos!U16,(Datos!K16+Datos!AE16-(Datos!U16+Datos!AM16))/(Datos!U16+Datos!AM16))," - ")</f>
        <v>0.30177817577075605</v>
      </c>
      <c r="G16" s="395">
        <f>IF(ISNUMBER(
   IF(D_I="SI",(Datos!L16-Datos!V16)/Datos!V16,(Datos!L16+Datos!AF16-(Datos!V16+Datos!AN16))/(Datos!V16+Datos!AN16))
     ),IF(D_I="SI",(Datos!L16-Datos!V16)/Datos!V16,(Datos!L16+Datos!AF16-(Datos!V16+Datos!AN16))/(Datos!V16+Datos!AN16))," - ")</f>
        <v>-9.7516930022573362E-2</v>
      </c>
      <c r="H16" s="244">
        <f>IF(ISNUMBER((Datos!M16-Datos!W16)/Datos!W16),(Datos!M16-Datos!W16)/Datos!W16," - ")</f>
        <v>0.54500000000000004</v>
      </c>
      <c r="I16" s="396">
        <f>IF(ISNUMBER((Tasas!C16-Datos!BE16)/Datos!BE16),(Tasas!C16-Datos!BE16)/Datos!BE16," - ")</f>
        <v>-0.30673052692476965</v>
      </c>
      <c r="J16" s="395">
        <f>IF(ISNUMBER((Tasas!D16-Datos!BF16)/Datos!BF16),(Tasas!D16-Datos!BF16)/Datos!BF16," - ")</f>
        <v>0.18683814858490549</v>
      </c>
      <c r="K16" s="397">
        <f>IF(ISNUMBER((Tasas!E16-Datos!BG16)/Datos!BG16),(Tasas!E16-Datos!BG16)/Datos!BG16," - ")</f>
        <v>-0.11857618561354269</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v>
      </c>
      <c r="E17" s="394" t="str">
        <f>IF(ISNUMBER(
   IF(D_I="SI",(Datos!J17-Datos!T17)/Datos!T17,(Datos!J17+Datos!AD17-(Datos!T17+Datos!AL17))/(Datos!T17+Datos!AL17))
     ),IF(D_I="SI",(Datos!J17-Datos!T17)/Datos!T17,(Datos!J17+Datos!AD17-(Datos!T17+Datos!AL17))/(Datos!T17+Datos!AL17))," - ")</f>
        <v xml:space="preserve"> - </v>
      </c>
      <c r="F17" s="394">
        <f>IF(ISNUMBER(
   IF(D_I="SI",(Datos!K17-Datos!U17)/Datos!U17,(Datos!K17+Datos!AE17-(Datos!U17+Datos!AM17))/(Datos!U17+Datos!AM17))
     ),IF(D_I="SI",(Datos!K17-Datos!U17)/Datos!U17,(Datos!K17+Datos!AE17-(Datos!U17+Datos!AM17))/(Datos!U17+Datos!AM17))," - ")</f>
        <v>-1</v>
      </c>
      <c r="G17" s="395">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1.3258426966292134</v>
      </c>
      <c r="E18" s="394">
        <f>IF(ISNUMBER(
   IF(D_I="SI",(Datos!J18-Datos!T18)/Datos!T18,(Datos!J18+Datos!AD18-(Datos!T18+Datos!AL18))/(Datos!T18+Datos!AL18))
     ),IF(D_I="SI",(Datos!J18-Datos!T18)/Datos!T18,(Datos!J18+Datos!AD18-(Datos!T18+Datos!AL18))/(Datos!T18+Datos!AL18))," - ")</f>
        <v>-1.3717421124828531E-3</v>
      </c>
      <c r="F18" s="394">
        <f>IF(ISNUMBER(
   IF(D_I="SI",(Datos!K18-Datos!U18)/Datos!U18,(Datos!K18+Datos!AE18-(Datos!U18+Datos!AM18))/(Datos!U18+Datos!AM18))
     ),IF(D_I="SI",(Datos!K18-Datos!U18)/Datos!U18,(Datos!K18+Datos!AE18-(Datos!U18+Datos!AM18))/(Datos!U18+Datos!AM18))," - ")</f>
        <v>0.22741433021806853</v>
      </c>
      <c r="G18" s="395">
        <f>IF(ISNUMBER(
   IF(D_I="SI",(Datos!L18-Datos!V18)/Datos!V18,(Datos!L18+Datos!AF18-(Datos!V18+Datos!AN18))/(Datos!V18+Datos!AN18))
     ),IF(D_I="SI",(Datos!L18-Datos!V18)/Datos!V18,(Datos!L18+Datos!AF18-(Datos!V18+Datos!AN18))/(Datos!V18+Datos!AN18))," - ")</f>
        <v>-0.28985507246376813</v>
      </c>
      <c r="H18" s="244">
        <f>IF(ISNUMBER((Datos!M18-Datos!W18)/Datos!W18),(Datos!M18-Datos!W18)/Datos!W18," - ")</f>
        <v>0.39613526570048307</v>
      </c>
      <c r="I18" s="396">
        <f>IF(ISNUMBER((Tasas!C18-Datos!BE18)/Datos!BE18),(Tasas!C18-Datos!BE18)/Datos!BE18," - ")</f>
        <v>-0.42143014787022726</v>
      </c>
      <c r="J18" s="395">
        <f>IF(ISNUMBER((Tasas!D18-Datos!BF18)/Datos!BF18),(Tasas!D18-Datos!BF18)/Datos!BF18," - ")</f>
        <v>0.13746045758846479</v>
      </c>
      <c r="K18" s="397">
        <f>IF(ISNUMBER((Tasas!E18-Datos!BG18)/Datos!BG18),(Tasas!E18-Datos!BG18)/Datos!BG18," - ")</f>
        <v>-6.8748215903590579E-2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0.29011689691817216</v>
      </c>
      <c r="E23" s="400">
        <f>IF(ISNUMBER(
   IF(D_I="SI",(Datos!J23-Datos!T23)/Datos!T23,(Datos!J23+Datos!AD23-(Datos!T23+Datos!AL23))/(Datos!T23+Datos!AL23))
     ),IF(D_I="SI",(Datos!J23-Datos!T23)/Datos!T23,(Datos!J23+Datos!AD23-(Datos!T23+Datos!AL23))/(Datos!T23+Datos!AL23))," - ")</f>
        <v>0.11866905338527957</v>
      </c>
      <c r="F23" s="400">
        <f>IF(ISNUMBER(
   IF(D_I="SI",(Datos!K23-Datos!U23)/Datos!U23,(Datos!K23+Datos!AE23-(Datos!U23+Datos!AM23))/(Datos!U23+Datos!AM23))
     ),IF(D_I="SI",(Datos!K23-Datos!U23)/Datos!U23,(Datos!K23+Datos!AE23-(Datos!U23+Datos!AM23))/(Datos!U23+Datos!AM23))," - ")</f>
        <v>0.29582791632194777</v>
      </c>
      <c r="G23" s="401">
        <f>IF(ISNUMBER(
   IF(D_I="SI",(Datos!L23-Datos!V23)/Datos!V23,(Datos!L23+Datos!AF23-(Datos!V23+Datos!AN23))/(Datos!V23+Datos!AN23))
     ),IF(D_I="SI",(Datos!L23-Datos!V23)/Datos!V23,(Datos!L23+Datos!AF23-(Datos!V23+Datos!AN23))/(Datos!V23+Datos!AN23))," - ")</f>
        <v>-0.11367380560131796</v>
      </c>
      <c r="H23" s="402">
        <f>IF(ISNUMBER((Datos!M23-Datos!W23)/Datos!W23),(Datos!M23-Datos!W23)/Datos!W23," - ")</f>
        <v>0.51946975973487985</v>
      </c>
      <c r="I23" s="403">
        <f>IF(ISNUMBER((Tasas!C23-Datos!BE23)/Datos!BE23),(Tasas!C23-Datos!BE23)/Datos!BE23," - ")</f>
        <v>-0.3160155116009441</v>
      </c>
      <c r="J23" s="401">
        <f>IF(ISNUMBER((Tasas!D23-Datos!BF23)/Datos!BF23),(Tasas!D23-Datos!BF23)/Datos!BF23," - ")</f>
        <v>0.17258606686581718</v>
      </c>
      <c r="K23" s="404">
        <f>IF(ISNUMBER((Tasas!E23-Datos!BG23)/Datos!BG23),(Tasas!E23-Datos!BG23)/Datos!BG23," - ")</f>
        <v>-0.11483214132653895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0.16771677167716773</v>
      </c>
      <c r="E31" s="410">
        <f>IF(ISNUMBER(
   IF(J_V="SI",(Datos!J31-Datos!T31)/Datos!T31,(Datos!J31+Datos!Z31-(Datos!T31+Datos!AH31))/(Datos!T31+Datos!AH31))
     ),IF(J_V="SI",(Datos!J31-Datos!T31)/Datos!T31,(Datos!J31+Datos!Z31-(Datos!T31+Datos!AH31))/(Datos!T31+Datos!AH31))," - ")</f>
        <v>0.1831068478550493</v>
      </c>
      <c r="F31" s="410">
        <f>IF(ISNUMBER(
   IF(J_V="SI",(Datos!K31-Datos!U31)/Datos!U31,(Datos!K31+Datos!AA31-(Datos!U31+Datos!AI31))/(Datos!U31+Datos!AI31))
     ),IF(J_V="SI",(Datos!K31-Datos!U31)/Datos!U31,(Datos!K31+Datos!AA31-(Datos!U31+Datos!AI31))/(Datos!U31+Datos!AI31))," - ")</f>
        <v>0.31373704052780393</v>
      </c>
      <c r="G31" s="411">
        <f>IF(ISNUMBER(
   IF(J_V="SI",(Datos!L31-Datos!V31)/Datos!V31,(Datos!L31+Datos!AB31-(Datos!V31+Datos!AJ31))/(Datos!V31+Datos!AJ31))
     ),IF(J_V="SI",(Datos!L31-Datos!V31)/Datos!V31,(Datos!L31+Datos!AB31-(Datos!V31+Datos!AJ31))/(Datos!V31+Datos!AJ31))," - ")</f>
        <v>1.4388489208633094E-2</v>
      </c>
      <c r="H31" s="412">
        <f>IF(ISNUMBER((Datos!M31-Datos!W31)/Datos!W31),(Datos!M31-Datos!W31)/Datos!W31," - ")</f>
        <v>0.44721356870889584</v>
      </c>
      <c r="I31" s="409">
        <f>IF(ISNUMBER((Tasas!C31-Datos!BE31)/Datos!BE31),(Tasas!C31-Datos!BE31)/Datos!BE31," - ")</f>
        <v>-0.22786032675070597</v>
      </c>
      <c r="J31" s="410">
        <f>IF(ISNUMBER((Tasas!D31-Datos!BF31)/Datos!BF31),(Tasas!D31-Datos!BF31)/Datos!BF31," - ")</f>
        <v>-0.39587618490620941</v>
      </c>
      <c r="K31" s="411">
        <f>IF(ISNUMBER((Tasas!E31-Datos!BG31)/Datos!BG31),(Tasas!E31-Datos!BG31)/Datos!BG31," - ")</f>
        <v>-0.10250472597641307</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0.57486515257803161</v>
      </c>
      <c r="E33" s="303">
        <f t="shared" si="1"/>
        <v>6.0917942837440578E-2</v>
      </c>
      <c r="F33" s="303">
        <f t="shared" si="1"/>
        <v>0.57180686653951829</v>
      </c>
      <c r="G33" s="304">
        <f t="shared" si="1"/>
        <v>0.21980918575593414</v>
      </c>
      <c r="H33" s="310">
        <f t="shared" si="1"/>
        <v>0.22050503341829047</v>
      </c>
      <c r="I33" s="302">
        <f t="shared" si="1"/>
        <v>0.59164881025906235</v>
      </c>
      <c r="J33" s="303">
        <f t="shared" si="1"/>
        <v>0.55307322383309387</v>
      </c>
      <c r="K33" s="304">
        <f t="shared" si="1"/>
        <v>0.21388734303704676</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ghtnZbmbLXV6bWh2Byw2WUKXlDTT36Z0swWnzvCzLgdtNvZG7E9f7qeH1XpLfRv5f7vBbVAtC7/KbA1F/PmCw==" saltValue="NJ41FzvO4MBLAIvUJvpBg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